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8460" windowHeight="6285" activeTab="1"/>
  </bookViews>
  <sheets>
    <sheet name="OP1 Rater" sheetId="1" r:id="rId1"/>
    <sheet name="OP2 Rater" sheetId="2" r:id="rId2"/>
    <sheet name="IP Only" sheetId="3" r:id="rId3"/>
    <sheet name="OP1 Only" sheetId="4" r:id="rId4"/>
    <sheet name="OP2 Only" sheetId="5" r:id="rId5"/>
    <sheet name="POV-Wellness" sheetId="6" r:id="rId6"/>
  </sheets>
  <definedNames>
    <definedName name="_xlfn.IFERROR" hidden="1">#NAME?</definedName>
    <definedName name="_xlnm.Print_Area" localSheetId="0">'OP1 Rater'!$I$1:$S$80</definedName>
    <definedName name="_xlnm.Print_Area" localSheetId="1">'OP2 Rater'!$I$1:$S$80</definedName>
    <definedName name="_xlnm.Print_Titles" localSheetId="2">'IP Only'!$1:$10</definedName>
    <definedName name="_xlnm.Print_Titles" localSheetId="3">'OP1 Only'!$1:$11</definedName>
    <definedName name="_xlnm.Print_Titles" localSheetId="4">'OP2 Only'!$1:$11</definedName>
    <definedName name="_xlnm.Print_Titles" localSheetId="5">'POV-Wellness'!$1:$8</definedName>
  </definedNames>
  <calcPr fullCalcOnLoad="1"/>
</workbook>
</file>

<file path=xl/comments1.xml><?xml version="1.0" encoding="utf-8"?>
<comments xmlns="http://schemas.openxmlformats.org/spreadsheetml/2006/main">
  <authors>
    <author>Administrator</author>
    <author>Susan Sartain</author>
  </authors>
  <commentList>
    <comment ref="R3" authorId="0">
      <text>
        <r>
          <rPr>
            <b/>
            <sz val="8"/>
            <rFont val="Tahoma"/>
            <family val="2"/>
          </rPr>
          <t>This cell will automatically insert today's date, unless you manually override by typing in another date.</t>
        </r>
        <r>
          <rPr>
            <sz val="8"/>
            <rFont val="Tahoma"/>
            <family val="2"/>
          </rPr>
          <t xml:space="preserve">
</t>
        </r>
      </text>
    </comment>
    <comment ref="I6" authorId="1">
      <text>
        <r>
          <rPr>
            <b/>
            <sz val="8"/>
            <rFont val="Tahoma"/>
            <family val="2"/>
          </rPr>
          <t>Enter group name here</t>
        </r>
      </text>
    </comment>
    <comment ref="L8" authorId="1">
      <text>
        <r>
          <rPr>
            <sz val="8"/>
            <rFont val="Tahoma"/>
            <family val="2"/>
          </rPr>
          <t xml:space="preserve">Select Effective Date from drop down box. Effective Date </t>
        </r>
        <r>
          <rPr>
            <b/>
            <sz val="8"/>
            <rFont val="Tahoma"/>
            <family val="2"/>
          </rPr>
          <t>MUST</t>
        </r>
        <r>
          <rPr>
            <sz val="8"/>
            <rFont val="Tahoma"/>
            <family val="2"/>
          </rPr>
          <t xml:space="preserve"> be the 1st of a month.</t>
        </r>
      </text>
    </comment>
    <comment ref="M8" authorId="1">
      <text>
        <r>
          <rPr>
            <sz val="8"/>
            <rFont val="Tahoma"/>
            <family val="2"/>
          </rPr>
          <t xml:space="preserve">Select Effective Year from drop down box
</t>
        </r>
      </text>
    </comment>
    <comment ref="M9" authorId="1">
      <text>
        <r>
          <rPr>
            <b/>
            <sz val="8"/>
            <rFont val="Tahoma"/>
            <family val="2"/>
          </rPr>
          <t>Select a state from the drop down box</t>
        </r>
        <r>
          <rPr>
            <sz val="8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8"/>
            <rFont val="Tahoma"/>
            <family val="2"/>
          </rPr>
          <t>Enter percentage of employer contribution towards EMPLOYEE ONLY cost</t>
        </r>
        <r>
          <rPr>
            <sz val="8"/>
            <rFont val="Tahoma"/>
            <family val="2"/>
          </rPr>
          <t xml:space="preserve">
</t>
        </r>
      </text>
    </comment>
    <comment ref="R12" authorId="1">
      <text>
        <r>
          <rPr>
            <b/>
            <sz val="10"/>
            <rFont val="Tahoma"/>
            <family val="2"/>
          </rPr>
          <t>Choose Yes or No
If Dual Option plans are being offered, Composite Rating will not be available</t>
        </r>
      </text>
    </comment>
    <comment ref="K15" authorId="1">
      <text>
        <r>
          <rPr>
            <b/>
            <sz val="10"/>
            <rFont val="Tahoma"/>
            <family val="2"/>
          </rPr>
          <t>The Hospital Confinement (Inpatient) Benefit must be lesser than or equal to the sum of the Major Medical Plan's Individual In-Network Deductible and Individual In-Network Coinsurance Maximum.
Amounts available are:  $500; $1,000; $1,500; $2,000; $2,500; $3,000; $3,500; $4,000; $4,500; $5,000, $6,000, $6,500, $7,000, $7,500, $8,000 and $10,000.</t>
        </r>
        <r>
          <rPr>
            <sz val="8"/>
            <rFont val="Tahoma"/>
            <family val="2"/>
          </rPr>
          <t xml:space="preserve">
</t>
        </r>
      </text>
    </comment>
    <comment ref="K16" authorId="1">
      <text>
        <r>
          <rPr>
            <b/>
            <sz val="10"/>
            <rFont val="Tahoma"/>
            <family val="2"/>
          </rPr>
          <t>The Outpatient benefit must be equal to or lesser than the In-Patient Benefit.  IF YOU DO NOT WANT THIS BENEFIT, DELETE AND LEAVE BLANK.
Amounts available are:  $200; $250; $500; $750; $1,000; $1,250; $1,500; $1,750; $2,000; $2,250 and $2,500.</t>
        </r>
      </text>
    </comment>
    <comment ref="K17" authorId="1">
      <text>
        <r>
          <rPr>
            <b/>
            <sz val="10"/>
            <rFont val="Tahoma"/>
            <family val="2"/>
          </rPr>
          <t>Select a Physician Office Visit benefit of $15 or $20.  IF YOU DO NOT WANT THIS BENEFIT, DELETE AND LEAVE BLANK.</t>
        </r>
      </text>
    </comment>
    <comment ref="K18" authorId="1">
      <text>
        <r>
          <rPr>
            <b/>
            <sz val="10"/>
            <rFont val="Tahoma"/>
            <family val="2"/>
          </rPr>
          <t>Select a Wellness benefit of $100, $200, or $500.   IF YOU DO NOT WANT THIS BENEFIT, OR GROUP IS LOCATED IN INDIANA, DELETE AND LEAVE BLANK. 
**WELLNESS IS NOT AVAILABLE IN INDIANA**</t>
        </r>
      </text>
    </comment>
    <comment ref="K19" authorId="1">
      <text>
        <r>
          <rPr>
            <b/>
            <sz val="8"/>
            <rFont val="Tahoma"/>
            <family val="2"/>
          </rPr>
          <t xml:space="preserve">Choose from Generic or Generic/Brand. IF YOU DO NOT WANT THE RX RIDER, LEAVE BLANK.
</t>
        </r>
        <r>
          <rPr>
            <b/>
            <u val="single"/>
            <sz val="8"/>
            <rFont val="Tahoma"/>
            <family val="2"/>
          </rPr>
          <t>NOT AVAILABLE IN MARYLAND, MAINE, NORTH CAROLINA OR TENNESSEE.</t>
        </r>
        <r>
          <rPr>
            <sz val="8"/>
            <rFont val="Tahoma"/>
            <family val="2"/>
          </rPr>
          <t xml:space="preserve">
</t>
        </r>
      </text>
    </comment>
    <comment ref="K20" authorId="1">
      <text>
        <r>
          <rPr>
            <b/>
            <sz val="8"/>
            <rFont val="Tahoma"/>
            <family val="2"/>
          </rPr>
          <t xml:space="preserve">Choose a benefit from $5,000, $10,000, $15,000 or $20,000. IF YOU DO NOT WANT THE TERM LIFE BENEFIT, LEAVE BLANK.
</t>
        </r>
        <r>
          <rPr>
            <b/>
            <u val="single"/>
            <sz val="8"/>
            <rFont val="Tahoma"/>
            <family val="2"/>
          </rPr>
          <t>NOT AVAILABLE IN MARYLAND OR NORTH CAROLINA.</t>
        </r>
        <r>
          <rPr>
            <sz val="8"/>
            <rFont val="Tahoma"/>
            <family val="2"/>
          </rPr>
          <t xml:space="preserve">
</t>
        </r>
      </text>
    </comment>
    <comment ref="K28" authorId="1">
      <text>
        <r>
          <rPr>
            <b/>
            <sz val="8"/>
            <rFont val="Tahoma"/>
            <family val="2"/>
          </rPr>
          <t>Insert the # of employees under age 40, selecting Employee Only coverage</t>
        </r>
      </text>
    </comment>
    <comment ref="K29" authorId="1">
      <text>
        <r>
          <rPr>
            <b/>
            <sz val="8"/>
            <rFont val="Tahoma"/>
            <family val="2"/>
          </rPr>
          <t>Insert the # of employees under age 40, selecting Employee &amp; Spouse coverage</t>
        </r>
      </text>
    </comment>
    <comment ref="K30" authorId="1">
      <text>
        <r>
          <rPr>
            <b/>
            <sz val="8"/>
            <rFont val="Tahoma"/>
            <family val="2"/>
          </rPr>
          <t>Insert the # of employees under age 40, selecting Employee &amp; Child coverage</t>
        </r>
      </text>
    </comment>
    <comment ref="K31" authorId="1">
      <text>
        <r>
          <rPr>
            <b/>
            <sz val="8"/>
            <rFont val="Tahoma"/>
            <family val="2"/>
          </rPr>
          <t>Insert the # of employees under age 40, selecting Employee &amp; Family coverage</t>
        </r>
      </text>
    </comment>
    <comment ref="K34" authorId="1">
      <text>
        <r>
          <rPr>
            <b/>
            <sz val="8"/>
            <rFont val="Tahoma"/>
            <family val="2"/>
          </rPr>
          <t>Insert the # of employees under ages 40-49, selecting Employee Only coverage</t>
        </r>
      </text>
    </comment>
    <comment ref="K35" authorId="1">
      <text>
        <r>
          <rPr>
            <b/>
            <sz val="8"/>
            <rFont val="Tahoma"/>
            <family val="2"/>
          </rPr>
          <t>Insert the # of employees under ages 40-49, selecting Employee &amp; Spouse coverage</t>
        </r>
      </text>
    </comment>
    <comment ref="K36" authorId="1">
      <text>
        <r>
          <rPr>
            <b/>
            <sz val="8"/>
            <rFont val="Tahoma"/>
            <family val="2"/>
          </rPr>
          <t>Insert the # of employees under ages 40-49, selecting Employee &amp; Child coverage</t>
        </r>
      </text>
    </comment>
    <comment ref="K37" authorId="1">
      <text>
        <r>
          <rPr>
            <b/>
            <sz val="8"/>
            <rFont val="Tahoma"/>
            <family val="2"/>
          </rPr>
          <t>Insert the # of employees under ages 40-49, selecting Employee &amp; Family coverage</t>
        </r>
      </text>
    </comment>
    <comment ref="K40" authorId="1">
      <text>
        <r>
          <rPr>
            <b/>
            <sz val="8"/>
            <rFont val="Tahoma"/>
            <family val="2"/>
          </rPr>
          <t>Insert the # of employees under ages 50 &amp; Over, selecting Employee Only coverage</t>
        </r>
      </text>
    </comment>
    <comment ref="K41" authorId="1">
      <text>
        <r>
          <rPr>
            <b/>
            <sz val="8"/>
            <rFont val="Tahoma"/>
            <family val="2"/>
          </rPr>
          <t>Insert the # of employees under ages 50 &amp; Over, selecting Employee &amp; Spouse coverage</t>
        </r>
      </text>
    </comment>
    <comment ref="K42" authorId="1">
      <text>
        <r>
          <rPr>
            <b/>
            <sz val="8"/>
            <rFont val="Tahoma"/>
            <family val="2"/>
          </rPr>
          <t>Insert the # of employees under ages 50 &amp; Over, selecting Employee &amp; Child coverage</t>
        </r>
      </text>
    </comment>
    <comment ref="K43" authorId="1">
      <text>
        <r>
          <rPr>
            <b/>
            <sz val="8"/>
            <rFont val="Tahoma"/>
            <family val="2"/>
          </rPr>
          <t>Insert the # of employees under ages 50 &amp; Over, selecting Employee &amp; Family coverage</t>
        </r>
      </text>
    </comment>
    <comment ref="K77" authorId="1">
      <text>
        <r>
          <rPr>
            <b/>
            <sz val="8"/>
            <rFont val="Tahoma"/>
            <family val="2"/>
          </rPr>
          <t>Enter value as MM/DD/YY</t>
        </r>
        <r>
          <rPr>
            <sz val="8"/>
            <rFont val="Tahoma"/>
            <family val="2"/>
          </rPr>
          <t xml:space="preserve">
</t>
        </r>
      </text>
    </comment>
    <comment ref="Q25" authorId="1">
      <text>
        <r>
          <rPr>
            <b/>
            <sz val="9"/>
            <rFont val="Tahoma"/>
            <family val="2"/>
          </rPr>
          <t>This section will show the premiums to be payroll deducted based on the Employer's Payroll Frequency and the Employer Contribution Level entered above.
Choose from the following options:  Semi-Monthly, Bi-Weekly, or Weekly</t>
        </r>
        <r>
          <rPr>
            <sz val="9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Enter percentage of employer contribution towards DEPENDENT cost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Administrator</author>
    <author>Susan Sartain</author>
  </authors>
  <commentList>
    <comment ref="R3" authorId="0">
      <text>
        <r>
          <rPr>
            <b/>
            <sz val="8"/>
            <rFont val="Tahoma"/>
            <family val="2"/>
          </rPr>
          <t>This cell will automatically insert today's date, unless you manually override by typing in another date.</t>
        </r>
        <r>
          <rPr>
            <sz val="8"/>
            <rFont val="Tahoma"/>
            <family val="2"/>
          </rPr>
          <t xml:space="preserve">
</t>
        </r>
      </text>
    </comment>
    <comment ref="I6" authorId="1">
      <text>
        <r>
          <rPr>
            <b/>
            <sz val="8"/>
            <rFont val="Tahoma"/>
            <family val="2"/>
          </rPr>
          <t>Enter group name here</t>
        </r>
      </text>
    </comment>
    <comment ref="L8" authorId="1">
      <text>
        <r>
          <rPr>
            <sz val="8"/>
            <rFont val="Tahoma"/>
            <family val="2"/>
          </rPr>
          <t xml:space="preserve">Select Effective Date from drop down box. Effective Date </t>
        </r>
        <r>
          <rPr>
            <b/>
            <sz val="8"/>
            <rFont val="Tahoma"/>
            <family val="2"/>
          </rPr>
          <t>MUST</t>
        </r>
        <r>
          <rPr>
            <sz val="8"/>
            <rFont val="Tahoma"/>
            <family val="2"/>
          </rPr>
          <t xml:space="preserve"> be the 1st of a month.</t>
        </r>
      </text>
    </comment>
    <comment ref="M8" authorId="1">
      <text>
        <r>
          <rPr>
            <sz val="8"/>
            <rFont val="Tahoma"/>
            <family val="2"/>
          </rPr>
          <t xml:space="preserve">Select Effective Year from drop down box
</t>
        </r>
      </text>
    </comment>
    <comment ref="M9" authorId="1">
      <text>
        <r>
          <rPr>
            <b/>
            <sz val="8"/>
            <rFont val="Tahoma"/>
            <family val="2"/>
          </rPr>
          <t>Select a state from the drop down box</t>
        </r>
        <r>
          <rPr>
            <sz val="8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8"/>
            <rFont val="Tahoma"/>
            <family val="2"/>
          </rPr>
          <t>Enter percentage of employer contribution towards EMPLOYEE ONLY cost</t>
        </r>
        <r>
          <rPr>
            <sz val="8"/>
            <rFont val="Tahoma"/>
            <family val="2"/>
          </rPr>
          <t xml:space="preserve">
</t>
        </r>
      </text>
    </comment>
    <comment ref="R12" authorId="1">
      <text>
        <r>
          <rPr>
            <b/>
            <sz val="10"/>
            <rFont val="Tahoma"/>
            <family val="2"/>
          </rPr>
          <t>Choose Yes or No
If Dual Option plans are being offered, Composite Rating will not be available</t>
        </r>
      </text>
    </comment>
    <comment ref="K15" authorId="1">
      <text>
        <r>
          <rPr>
            <b/>
            <sz val="10"/>
            <rFont val="Tahoma"/>
            <family val="2"/>
          </rPr>
          <t>The Hospital Confinement (Inpatient) Benefit must be lesser than or equal to the sum of the Major Medical Plan's Individual In-Network Deductible and Individual In-Network Coinsurance Maximum.
Amounts available are:  $500; $1,000; $1,500; $2,000; $2,500; $3,000; $3,500; $4,000; $4,500; $5,000, $6,000, $6,500, $7,000, $7,500, $8,000 and $10,000.</t>
        </r>
        <r>
          <rPr>
            <sz val="8"/>
            <rFont val="Tahoma"/>
            <family val="2"/>
          </rPr>
          <t xml:space="preserve">
</t>
        </r>
      </text>
    </comment>
    <comment ref="K16" authorId="1">
      <text>
        <r>
          <rPr>
            <b/>
            <sz val="10"/>
            <rFont val="Tahoma"/>
            <family val="2"/>
          </rPr>
          <t>The Outpatient benefit (R-2822) cannot exceed an amount equal to 50% of the In-Patient Benefit.  IF YOU DO NOT WANT THIS BENEFIT, DELETE AND LEAVE BLANK.
Amounts available are:  $250; $500; $750; $1,000; $1,250; $1,500; $1,750; $2,000; $2,250 and $2,500.</t>
        </r>
      </text>
    </comment>
    <comment ref="K17" authorId="1">
      <text>
        <r>
          <rPr>
            <b/>
            <sz val="10"/>
            <rFont val="Tahoma"/>
            <family val="2"/>
          </rPr>
          <t>Select a Physician Office Visit benefit of $15 or $20.  IF YOU DO NOT WANT THIS BENEFIT, DELETE AND LEAVE BLANK.</t>
        </r>
      </text>
    </comment>
    <comment ref="K18" authorId="1">
      <text>
        <r>
          <rPr>
            <b/>
            <sz val="10"/>
            <rFont val="Tahoma"/>
            <family val="2"/>
          </rPr>
          <t>Select a Wellness benefit of $100, $200, or $500.   IF YOU DO NOT WANT THIS BENEFIT, OR GROUP IS LOCATED IN INDIANA, DELETE AND LEAVE BLANK. 
**WELLNESS IS NOT AVAILABLE IN INDIANA**</t>
        </r>
      </text>
    </comment>
    <comment ref="K19" authorId="1">
      <text>
        <r>
          <rPr>
            <b/>
            <sz val="8"/>
            <rFont val="Tahoma"/>
            <family val="2"/>
          </rPr>
          <t xml:space="preserve">Choose from Generic or Generic/Brand. IF YOU DO NOT WANT THE RX RIDER, LEAVE BLANK.
</t>
        </r>
        <r>
          <rPr>
            <b/>
            <u val="single"/>
            <sz val="8"/>
            <rFont val="Tahoma"/>
            <family val="2"/>
          </rPr>
          <t>NOT AVAILABLE IN MARYLAND, MAINE, NORTH CAROLINA OR TENNESSEE.</t>
        </r>
        <r>
          <rPr>
            <sz val="8"/>
            <rFont val="Tahoma"/>
            <family val="2"/>
          </rPr>
          <t xml:space="preserve">
</t>
        </r>
      </text>
    </comment>
    <comment ref="K20" authorId="1">
      <text>
        <r>
          <rPr>
            <b/>
            <sz val="8"/>
            <rFont val="Tahoma"/>
            <family val="2"/>
          </rPr>
          <t xml:space="preserve">Choose a benefit from $5,000, $10,000, $15,000 or $20,000. IF YOU DO NOT WANT THE TERM LIFE BENEFIT, LEAVE BLANK.
</t>
        </r>
        <r>
          <rPr>
            <b/>
            <u val="single"/>
            <sz val="8"/>
            <rFont val="Tahoma"/>
            <family val="2"/>
          </rPr>
          <t>NOT AVAILABLE IN MARYLAND OR NORTH CAROLINA.</t>
        </r>
        <r>
          <rPr>
            <sz val="8"/>
            <rFont val="Tahoma"/>
            <family val="2"/>
          </rPr>
          <t xml:space="preserve">
</t>
        </r>
      </text>
    </comment>
    <comment ref="K28" authorId="1">
      <text>
        <r>
          <rPr>
            <b/>
            <sz val="8"/>
            <rFont val="Tahoma"/>
            <family val="2"/>
          </rPr>
          <t>Insert the # of employees under age 40, selecting Employee Only coverage</t>
        </r>
      </text>
    </comment>
    <comment ref="K29" authorId="1">
      <text>
        <r>
          <rPr>
            <b/>
            <sz val="8"/>
            <rFont val="Tahoma"/>
            <family val="2"/>
          </rPr>
          <t>Insert the # of employees under age 40, selecting Employee &amp; Spouse coverage</t>
        </r>
      </text>
    </comment>
    <comment ref="K30" authorId="1">
      <text>
        <r>
          <rPr>
            <b/>
            <sz val="8"/>
            <rFont val="Tahoma"/>
            <family val="2"/>
          </rPr>
          <t>Insert the # of employees under age 40, selecting Employee &amp; Child coverage</t>
        </r>
      </text>
    </comment>
    <comment ref="K31" authorId="1">
      <text>
        <r>
          <rPr>
            <b/>
            <sz val="8"/>
            <rFont val="Tahoma"/>
            <family val="2"/>
          </rPr>
          <t>Insert the # of employees under age 40, selecting Employee &amp; Family coverage</t>
        </r>
      </text>
    </comment>
    <comment ref="K34" authorId="1">
      <text>
        <r>
          <rPr>
            <b/>
            <sz val="8"/>
            <rFont val="Tahoma"/>
            <family val="2"/>
          </rPr>
          <t>Insert the # of employees under ages 40-49, selecting Employee Only coverage</t>
        </r>
      </text>
    </comment>
    <comment ref="K35" authorId="1">
      <text>
        <r>
          <rPr>
            <b/>
            <sz val="8"/>
            <rFont val="Tahoma"/>
            <family val="2"/>
          </rPr>
          <t>Insert the # of employees under ages 40-49, selecting Employee &amp; Spouse coverage</t>
        </r>
      </text>
    </comment>
    <comment ref="K36" authorId="1">
      <text>
        <r>
          <rPr>
            <b/>
            <sz val="8"/>
            <rFont val="Tahoma"/>
            <family val="2"/>
          </rPr>
          <t>Insert the # of employees under ages 40-49, selecting Employee &amp; Child coverage</t>
        </r>
      </text>
    </comment>
    <comment ref="K37" authorId="1">
      <text>
        <r>
          <rPr>
            <b/>
            <sz val="8"/>
            <rFont val="Tahoma"/>
            <family val="2"/>
          </rPr>
          <t>Insert the # of employees under ages 40-49, selecting Employee &amp; Family coverage</t>
        </r>
      </text>
    </comment>
    <comment ref="K40" authorId="1">
      <text>
        <r>
          <rPr>
            <b/>
            <sz val="8"/>
            <rFont val="Tahoma"/>
            <family val="2"/>
          </rPr>
          <t>Insert the # of employees under ages 50 &amp; Over, selecting Employee Only coverage</t>
        </r>
      </text>
    </comment>
    <comment ref="K41" authorId="1">
      <text>
        <r>
          <rPr>
            <b/>
            <sz val="8"/>
            <rFont val="Tahoma"/>
            <family val="2"/>
          </rPr>
          <t>Insert the # of employees under ages 50 &amp; Over, selecting Employee &amp; Spouse coverage</t>
        </r>
      </text>
    </comment>
    <comment ref="K42" authorId="1">
      <text>
        <r>
          <rPr>
            <b/>
            <sz val="8"/>
            <rFont val="Tahoma"/>
            <family val="2"/>
          </rPr>
          <t>Insert the # of employees under ages 50 &amp; Over, selecting Employee &amp; Child coverage</t>
        </r>
      </text>
    </comment>
    <comment ref="K43" authorId="1">
      <text>
        <r>
          <rPr>
            <b/>
            <sz val="8"/>
            <rFont val="Tahoma"/>
            <family val="2"/>
          </rPr>
          <t>Insert the # of employees under ages 50 &amp; Over, selecting Employee &amp; Family coverage</t>
        </r>
      </text>
    </comment>
    <comment ref="K77" authorId="1">
      <text>
        <r>
          <rPr>
            <b/>
            <sz val="8"/>
            <rFont val="Tahoma"/>
            <family val="2"/>
          </rPr>
          <t>Enter value as MM/DD/YY</t>
        </r>
        <r>
          <rPr>
            <sz val="8"/>
            <rFont val="Tahoma"/>
            <family val="2"/>
          </rPr>
          <t xml:space="preserve">
</t>
        </r>
      </text>
    </comment>
    <comment ref="Q25" authorId="1">
      <text>
        <r>
          <rPr>
            <b/>
            <sz val="9"/>
            <rFont val="Tahoma"/>
            <family val="2"/>
          </rPr>
          <t>This section will show the premiums to be payroll deducted based on the Employer's Payroll Frequency and the Employer Contribution Level entered above.
Choose from the following options:  Semi-Monthly, Bi-Weekly, or Weekly</t>
        </r>
        <r>
          <rPr>
            <sz val="9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Enter percentage of employer contribution towards DEPENDENT cost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<sst xmlns="http://schemas.openxmlformats.org/spreadsheetml/2006/main" count="757" uniqueCount="150">
  <si>
    <t>Insured Only</t>
  </si>
  <si>
    <t>Insured Plus Spouse</t>
  </si>
  <si>
    <t>Insured Plus Children</t>
  </si>
  <si>
    <t>Insured Plus Family</t>
  </si>
  <si>
    <t>Insured with Attained Age Under 40</t>
  </si>
  <si>
    <t>Benefit Amount</t>
  </si>
  <si>
    <t>Insured with Attained Age 40 - 49</t>
  </si>
  <si>
    <t>Insured with Attained Age 50+</t>
  </si>
  <si>
    <t>POV</t>
  </si>
  <si>
    <t>Under 40</t>
  </si>
  <si>
    <t>EE</t>
  </si>
  <si>
    <t>ES</t>
  </si>
  <si>
    <t>EC</t>
  </si>
  <si>
    <t>EF</t>
  </si>
  <si>
    <t>40-40</t>
  </si>
  <si>
    <t>50+</t>
  </si>
  <si>
    <t>IP</t>
  </si>
  <si>
    <t>OP</t>
  </si>
  <si>
    <t>Well</t>
  </si>
  <si>
    <t>Monthly</t>
  </si>
  <si>
    <t>Rate*</t>
  </si>
  <si>
    <t># of</t>
  </si>
  <si>
    <t>Lives</t>
  </si>
  <si>
    <t>Hospital Confinement Benefit</t>
  </si>
  <si>
    <t>Under Age 40:</t>
  </si>
  <si>
    <t>Insured Only:</t>
  </si>
  <si>
    <t>Ages 40-49:</t>
  </si>
  <si>
    <t>Ages 50 &amp; Above:</t>
  </si>
  <si>
    <t>Cost</t>
  </si>
  <si>
    <t>Assumed Effective Date:</t>
  </si>
  <si>
    <t>Composite Info</t>
  </si>
  <si>
    <t>Fidelity Security Life Insurance Company may change the Composite Plan Rates under the following conditions:</t>
  </si>
  <si>
    <t>State of Domicile:</t>
  </si>
  <si>
    <t>The Composite Plan Rates may be changed on the next following Premium Due Date after either 2 or 3 shown above have occurred given at least 31 days advance written notice.</t>
  </si>
  <si>
    <t>IP Benefit</t>
  </si>
  <si>
    <t>POV Benefit</t>
  </si>
  <si>
    <t>Wellness Benefit</t>
  </si>
  <si>
    <t>Rx Rider</t>
  </si>
  <si>
    <t>Life</t>
  </si>
  <si>
    <t>Generic</t>
  </si>
  <si>
    <t>Rx</t>
  </si>
  <si>
    <t>Life/AD&amp;D</t>
  </si>
  <si>
    <t>Generic/Brand</t>
  </si>
  <si>
    <t>Proposal Date:</t>
  </si>
  <si>
    <t>OP2 Benefit</t>
  </si>
  <si>
    <t>Bi-Weekly</t>
  </si>
  <si>
    <t>Weekly</t>
  </si>
  <si>
    <t>%</t>
  </si>
  <si>
    <t>Semi-Monthly</t>
  </si>
  <si>
    <t>Payroll Deduction Factors**</t>
  </si>
  <si>
    <t>**The full monthly rate is payable regardless of the payroll deduction method used by the employer.  Premiums are NOT pro-rated for partial periods of coverage.  Payroll deduction rates reflect the employee cost based on the employer contribution level and assumes employer is not contributing toward any dependent cost.</t>
  </si>
  <si>
    <t>TX</t>
  </si>
  <si>
    <t>Total Lives &amp; Est. Monthly Cost:</t>
  </si>
  <si>
    <t>Insured &amp; Spouse</t>
  </si>
  <si>
    <t>Insured &amp; Family</t>
  </si>
  <si>
    <t>Insured &amp; Child(ren)</t>
  </si>
  <si>
    <t>Total</t>
  </si>
  <si>
    <t>Premium</t>
  </si>
  <si>
    <t>Composite</t>
  </si>
  <si>
    <t>Plan Rate</t>
  </si>
  <si>
    <t>FL</t>
  </si>
  <si>
    <t>States</t>
  </si>
  <si>
    <t>AK</t>
  </si>
  <si>
    <t>AR</t>
  </si>
  <si>
    <t>AZ</t>
  </si>
  <si>
    <t>DE</t>
  </si>
  <si>
    <t>IA</t>
  </si>
  <si>
    <t>MI</t>
  </si>
  <si>
    <t>MO</t>
  </si>
  <si>
    <t>MS</t>
  </si>
  <si>
    <t>NC</t>
  </si>
  <si>
    <t>NE</t>
  </si>
  <si>
    <t>OK</t>
  </si>
  <si>
    <t>PA</t>
  </si>
  <si>
    <t>RI</t>
  </si>
  <si>
    <t>SC</t>
  </si>
  <si>
    <t>SD</t>
  </si>
  <si>
    <t>WI</t>
  </si>
  <si>
    <t>WV</t>
  </si>
  <si>
    <t>WY</t>
  </si>
  <si>
    <t>FLORIDA</t>
  </si>
  <si>
    <t>TEXAS</t>
  </si>
  <si>
    <t>ALL OTHER STATES</t>
  </si>
  <si>
    <t>VT</t>
  </si>
  <si>
    <t>Otherwise</t>
  </si>
  <si>
    <t>This product is underwritten by Fidelity Security Life Insurance Company, Kansas City, Missouri.</t>
  </si>
  <si>
    <t>This product is marketed by Allstate Workplace Division.  Allstate Workplace Division is the marketing name used by American Heritage Life Insurance Company (Home Office, Jacksonville, FL), a wholly-owned subsidiary of The Allstate Corporation.</t>
  </si>
  <si>
    <t>These rates are for agent and employer use only.  If used with an employer, present with an approved marketing brochure that describes the benefits, exclusions and limitations of the policy.</t>
  </si>
  <si>
    <t>NOT FOR USE WITH CONSUMER SALES</t>
  </si>
  <si>
    <t>AL</t>
  </si>
  <si>
    <t>Will Dual Plans be Offered (Yes or No):</t>
  </si>
  <si>
    <t>No</t>
  </si>
  <si>
    <t>XYZ COMPANY</t>
  </si>
  <si>
    <t>HOSPITAL CONFINEMENT BENEFIT*</t>
  </si>
  <si>
    <t>(*Amount selected cannot exceed individual in-network deductible plus coinsurance maximum on the underlying group major medical plan)</t>
  </si>
  <si>
    <t>The Out-Patient II Benefit is a "per person per calendar year benefit" and is subject to a "2x" family maximum limit.</t>
  </si>
  <si>
    <r>
      <t xml:space="preserve">(*Amount selected must be less than or equal to </t>
    </r>
    <r>
      <rPr>
        <b/>
        <u val="single"/>
        <sz val="8"/>
        <rFont val="Arial"/>
        <family val="2"/>
      </rPr>
      <t>50% of the Hospital Confinement Benefit</t>
    </r>
    <r>
      <rPr>
        <b/>
        <sz val="8"/>
        <rFont val="Arial"/>
        <family val="2"/>
      </rPr>
      <t xml:space="preserve"> selected.)</t>
    </r>
  </si>
  <si>
    <r>
      <rPr>
        <b/>
        <u val="single"/>
        <sz val="10"/>
        <color indexed="10"/>
        <rFont val="Arial"/>
        <family val="2"/>
      </rPr>
      <t>OUT-PATIENT II</t>
    </r>
    <r>
      <rPr>
        <b/>
        <sz val="10"/>
        <rFont val="Arial"/>
        <family val="2"/>
      </rPr>
      <t xml:space="preserve"> BENEFIT*</t>
    </r>
  </si>
  <si>
    <t>OP1 Benefit</t>
  </si>
  <si>
    <r>
      <rPr>
        <b/>
        <u val="single"/>
        <sz val="10"/>
        <color indexed="10"/>
        <rFont val="Arial"/>
        <family val="2"/>
      </rPr>
      <t>OUT-PATIENT I</t>
    </r>
    <r>
      <rPr>
        <b/>
        <sz val="10"/>
        <rFont val="Arial"/>
        <family val="2"/>
      </rPr>
      <t xml:space="preserve"> BENEFIT*</t>
    </r>
  </si>
  <si>
    <r>
      <t xml:space="preserve">(*Amount selected must be less than or equal to </t>
    </r>
    <r>
      <rPr>
        <b/>
        <u val="single"/>
        <sz val="8"/>
        <rFont val="Arial"/>
        <family val="2"/>
      </rPr>
      <t>the Hospital Confinement Benefit</t>
    </r>
    <r>
      <rPr>
        <b/>
        <sz val="8"/>
        <rFont val="Arial"/>
        <family val="2"/>
      </rPr>
      <t xml:space="preserve"> selected.)</t>
    </r>
  </si>
  <si>
    <t>PHYSICIAN OFFICE VISIT BENEFIT</t>
  </si>
  <si>
    <t>WELLNESS BENEFIT</t>
  </si>
  <si>
    <t>8-visit Maximum</t>
  </si>
  <si>
    <t>12-visit maximum</t>
  </si>
  <si>
    <t>Agent:</t>
  </si>
  <si>
    <t>Ratio to EE Cost</t>
  </si>
  <si>
    <t>Ratio</t>
  </si>
  <si>
    <t>New Ratio</t>
  </si>
  <si>
    <t>New Prop</t>
  </si>
  <si>
    <t>Tot Prem</t>
  </si>
  <si>
    <t>Plan Prem</t>
  </si>
  <si>
    <t>Adj. Prem</t>
  </si>
  <si>
    <t>Indiana Wellness Benefit</t>
  </si>
  <si>
    <t>The exact provisions governing the insurance are contained in the master policy issued to each group on form #M-9054, policy series MG-100 (in California, form #M-9111CA, policy series MG-115, in Indiana, form #M-9111IN, policy series MG-115, and in New Jersey, form #M-9112, policy series MG-120).  This product is not available in all states.</t>
  </si>
  <si>
    <r>
      <t>1) At the time of initial enrollment when final group make-up and plan selections are determined;</t>
    </r>
    <r>
      <rPr>
        <sz val="10"/>
        <rFont val="Arial"/>
        <family val="2"/>
      </rPr>
      <t xml:space="preserve"> 2) The increase or decrease in the number of Insureds covered under the contract exceeds 15% from one month to the next or exceeds 30% over any given period of 3 consecutive months; or 3) the employer adds or deletes subsidiaries or affiliated companies or divisions.</t>
    </r>
  </si>
  <si>
    <t>We wish to bind coverage effective:</t>
  </si>
  <si>
    <t>Signature of Employer's Authorized Representative:</t>
  </si>
  <si>
    <t>COLORADO &amp; INDIANA</t>
  </si>
  <si>
    <t>COLORADO &amp; INDIANA (except Wellness Benefit is not available in Indiana)</t>
  </si>
  <si>
    <t xml:space="preserve">         using: (circle one)      AGE-BANDED RATES     COMPOSITE RATES IF AVAILABLE.</t>
  </si>
  <si>
    <t xml:space="preserve">        using: (circle one)      AGE-BANDED RATES     COMPOSITE RATES IF AVAILABLE.</t>
  </si>
  <si>
    <t>(A $20 monthly billing fee applies if less than 5 enrolled lives)</t>
  </si>
  <si>
    <r>
      <t xml:space="preserve">The Out-Patient I Benefit is a "per person per occurrence benefit" and is subject to a </t>
    </r>
    <r>
      <rPr>
        <b/>
        <i/>
        <u val="single"/>
        <sz val="8"/>
        <rFont val="Arial"/>
        <family val="2"/>
      </rPr>
      <t>maximum of four out-patient occurrences per calendar year per family</t>
    </r>
    <r>
      <rPr>
        <b/>
        <i/>
        <sz val="8"/>
        <rFont val="Arial"/>
        <family val="2"/>
      </rPr>
      <t>.</t>
    </r>
  </si>
  <si>
    <t>Payroll Period:</t>
  </si>
  <si>
    <t>*Rates are "per employee per month or part thereof."  **Payroll Deduction Factors represent employee's cost based on Employer Contribution Level.</t>
  </si>
  <si>
    <t># Pay Periods:</t>
  </si>
  <si>
    <t>% Employer Contributes to Employee Only cost:</t>
  </si>
  <si>
    <t>% Employer Contributes to Dependent cost:</t>
  </si>
  <si>
    <t>(requires state specific enrollment materials)</t>
  </si>
  <si>
    <t xml:space="preserve"> </t>
  </si>
  <si>
    <t>CA</t>
  </si>
  <si>
    <t>CO</t>
  </si>
  <si>
    <t>DC</t>
  </si>
  <si>
    <t>GA</t>
  </si>
  <si>
    <t>HI</t>
  </si>
  <si>
    <t>ID</t>
  </si>
  <si>
    <t>IL</t>
  </si>
  <si>
    <t>IN</t>
  </si>
  <si>
    <t>KY</t>
  </si>
  <si>
    <t>LA</t>
  </si>
  <si>
    <t>MD</t>
  </si>
  <si>
    <t>ME</t>
  </si>
  <si>
    <t>NJ</t>
  </si>
  <si>
    <t>NM</t>
  </si>
  <si>
    <t>NV</t>
  </si>
  <si>
    <t>OH</t>
  </si>
  <si>
    <t>TN</t>
  </si>
  <si>
    <t>VA</t>
  </si>
  <si>
    <t>OR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</si>
</sst>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[$-409]dddd\,\ mmmm\ dd\,\ yyyy"/>
    <numFmt numFmtId="167" formatCode="[$-409]mmmm\ d\,\ yy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"/>
    <numFmt numFmtId="173" formatCode="[$-409]mmmm\-yy;@"/>
    <numFmt numFmtId="174" formatCode="mmmm\ dd\,"/>
  </numFmts>
  <fonts count="6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b/>
      <sz val="28"/>
      <name val="Arial"/>
      <family val="2"/>
    </font>
    <font>
      <b/>
      <sz val="28"/>
      <color indexed="5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sz val="10"/>
      <color indexed="10"/>
      <name val="Arial"/>
      <family val="2"/>
    </font>
    <font>
      <b/>
      <sz val="8"/>
      <name val="Tahoma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2"/>
      <name val="Arial"/>
      <family val="2"/>
    </font>
    <font>
      <sz val="11"/>
      <name val="Times New Roman"/>
      <family val="1"/>
    </font>
    <font>
      <b/>
      <u val="single"/>
      <sz val="8"/>
      <name val="Arial"/>
      <family val="2"/>
    </font>
    <font>
      <sz val="10"/>
      <color indexed="18"/>
      <name val="Wingdings"/>
      <family val="0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b/>
      <u val="single"/>
      <sz val="8"/>
      <name val="Tahoma"/>
      <family val="2"/>
    </font>
    <font>
      <b/>
      <u val="single"/>
      <sz val="10"/>
      <color indexed="10"/>
      <name val="Arial"/>
      <family val="2"/>
    </font>
    <font>
      <b/>
      <i/>
      <sz val="8"/>
      <name val="Arial"/>
      <family val="2"/>
    </font>
    <font>
      <b/>
      <i/>
      <u val="single"/>
      <sz val="8"/>
      <name val="Arial"/>
      <family val="2"/>
    </font>
    <font>
      <sz val="9.5"/>
      <name val="Arial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7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rgb="FF00B050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thin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6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16" xfId="0" applyFont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6" fontId="1" fillId="0" borderId="0" xfId="0" applyNumberFormat="1" applyFont="1" applyAlignment="1" applyProtection="1">
      <alignment/>
      <protection locked="0"/>
    </xf>
    <xf numFmtId="0" fontId="2" fillId="0" borderId="0" xfId="0" applyFont="1" applyAlignment="1">
      <alignment vertical="top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Border="1" applyAlignment="1">
      <alignment horizontal="center"/>
    </xf>
    <xf numFmtId="0" fontId="13" fillId="0" borderId="0" xfId="0" applyFont="1" applyAlignment="1" applyProtection="1">
      <alignment horizontal="right"/>
      <protection hidden="1"/>
    </xf>
    <xf numFmtId="164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164" fontId="0" fillId="0" borderId="0" xfId="0" applyNumberFormat="1" applyBorder="1" applyAlignment="1" applyProtection="1">
      <alignment horizontal="center"/>
      <protection hidden="1"/>
    </xf>
    <xf numFmtId="164" fontId="0" fillId="0" borderId="14" xfId="0" applyNumberFormat="1" applyBorder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0" fontId="16" fillId="0" borderId="0" xfId="0" applyFont="1" applyAlignment="1">
      <alignment/>
    </xf>
    <xf numFmtId="2" fontId="2" fillId="0" borderId="13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6" fontId="1" fillId="0" borderId="0" xfId="0" applyNumberFormat="1" applyFont="1" applyAlignment="1" applyProtection="1">
      <alignment/>
      <protection/>
    </xf>
    <xf numFmtId="4" fontId="7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13" xfId="0" applyFont="1" applyBorder="1" applyAlignment="1">
      <alignment horizontal="center"/>
    </xf>
    <xf numFmtId="0" fontId="1" fillId="0" borderId="0" xfId="0" applyFont="1" applyAlignment="1">
      <alignment horizontal="left"/>
    </xf>
    <xf numFmtId="1" fontId="1" fillId="0" borderId="17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3" fontId="1" fillId="0" borderId="0" xfId="0" applyNumberFormat="1" applyFont="1" applyBorder="1" applyAlignment="1">
      <alignment horizontal="center"/>
    </xf>
    <xf numFmtId="164" fontId="0" fillId="0" borderId="13" xfId="0" applyNumberFormat="1" applyBorder="1" applyAlignment="1" applyProtection="1">
      <alignment horizontal="center"/>
      <protection hidden="1"/>
    </xf>
    <xf numFmtId="4" fontId="0" fillId="0" borderId="0" xfId="0" applyNumberFormat="1" applyBorder="1" applyAlignment="1" applyProtection="1">
      <alignment/>
      <protection hidden="1"/>
    </xf>
    <xf numFmtId="164" fontId="0" fillId="0" borderId="14" xfId="0" applyNumberFormat="1" applyBorder="1" applyAlignment="1" applyProtection="1">
      <alignment/>
      <protection hidden="1"/>
    </xf>
    <xf numFmtId="164" fontId="0" fillId="0" borderId="15" xfId="0" applyNumberFormat="1" applyBorder="1" applyAlignment="1" applyProtection="1">
      <alignment horizontal="center"/>
      <protection hidden="1"/>
    </xf>
    <xf numFmtId="164" fontId="0" fillId="0" borderId="17" xfId="0" applyNumberFormat="1" applyBorder="1" applyAlignment="1" applyProtection="1">
      <alignment horizontal="center"/>
      <protection hidden="1"/>
    </xf>
    <xf numFmtId="164" fontId="0" fillId="0" borderId="16" xfId="0" applyNumberFormat="1" applyBorder="1" applyAlignment="1" applyProtection="1">
      <alignment horizontal="center"/>
      <protection hidden="1"/>
    </xf>
    <xf numFmtId="0" fontId="0" fillId="0" borderId="0" xfId="0" applyAlignment="1">
      <alignment wrapText="1"/>
    </xf>
    <xf numFmtId="0" fontId="9" fillId="0" borderId="0" xfId="0" applyFont="1" applyAlignment="1">
      <alignment horizontal="center"/>
    </xf>
    <xf numFmtId="0" fontId="20" fillId="0" borderId="0" xfId="0" applyFont="1" applyAlignment="1">
      <alignment horizontal="center" vertical="top"/>
    </xf>
    <xf numFmtId="0" fontId="17" fillId="0" borderId="0" xfId="0" applyFont="1" applyBorder="1" applyAlignment="1">
      <alignment/>
    </xf>
    <xf numFmtId="0" fontId="18" fillId="0" borderId="0" xfId="0" applyFont="1" applyAlignment="1">
      <alignment horizontal="justify"/>
    </xf>
    <xf numFmtId="0" fontId="7" fillId="0" borderId="0" xfId="0" applyFont="1" applyFill="1" applyBorder="1" applyAlignment="1">
      <alignment horizontal="center"/>
    </xf>
    <xf numFmtId="0" fontId="0" fillId="0" borderId="0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19" fillId="0" borderId="13" xfId="0" applyFont="1" applyBorder="1" applyAlignment="1" applyProtection="1">
      <alignment horizontal="center"/>
      <protection hidden="1"/>
    </xf>
    <xf numFmtId="0" fontId="19" fillId="0" borderId="14" xfId="0" applyFont="1" applyBorder="1" applyAlignment="1" applyProtection="1">
      <alignment horizontal="center"/>
      <protection hidden="1"/>
    </xf>
    <xf numFmtId="0" fontId="3" fillId="0" borderId="13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14" xfId="0" applyFont="1" applyBorder="1" applyAlignment="1" applyProtection="1">
      <alignment horizontal="center"/>
      <protection hidden="1"/>
    </xf>
    <xf numFmtId="0" fontId="0" fillId="0" borderId="13" xfId="0" applyBorder="1" applyAlignment="1" applyProtection="1">
      <alignment/>
      <protection hidden="1"/>
    </xf>
    <xf numFmtId="164" fontId="0" fillId="0" borderId="13" xfId="0" applyNumberFormat="1" applyBorder="1" applyAlignment="1" applyProtection="1">
      <alignment/>
      <protection hidden="1"/>
    </xf>
    <xf numFmtId="164" fontId="0" fillId="0" borderId="0" xfId="0" applyNumberFormat="1" applyBorder="1" applyAlignment="1" applyProtection="1">
      <alignment/>
      <protection hidden="1"/>
    </xf>
    <xf numFmtId="164" fontId="0" fillId="0" borderId="15" xfId="0" applyNumberFormat="1" applyBorder="1" applyAlignment="1" applyProtection="1">
      <alignment/>
      <protection hidden="1"/>
    </xf>
    <xf numFmtId="164" fontId="0" fillId="0" borderId="17" xfId="0" applyNumberFormat="1" applyBorder="1" applyAlignment="1" applyProtection="1">
      <alignment/>
      <protection hidden="1"/>
    </xf>
    <xf numFmtId="164" fontId="0" fillId="0" borderId="16" xfId="0" applyNumberFormat="1" applyBorder="1" applyAlignment="1" applyProtection="1">
      <alignment/>
      <protection hidden="1"/>
    </xf>
    <xf numFmtId="0" fontId="0" fillId="0" borderId="12" xfId="0" applyBorder="1" applyAlignment="1">
      <alignment/>
    </xf>
    <xf numFmtId="6" fontId="1" fillId="0" borderId="0" xfId="0" applyNumberFormat="1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14" fontId="1" fillId="0" borderId="0" xfId="0" applyNumberFormat="1" applyFont="1" applyAlignment="1" applyProtection="1">
      <alignment/>
      <protection hidden="1" locked="0"/>
    </xf>
    <xf numFmtId="0" fontId="0" fillId="0" borderId="18" xfId="0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1" fillId="0" borderId="11" xfId="0" applyFont="1" applyBorder="1" applyAlignment="1">
      <alignment/>
    </xf>
    <xf numFmtId="2" fontId="0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justify" vertical="top"/>
    </xf>
    <xf numFmtId="0" fontId="0" fillId="0" borderId="13" xfId="0" applyBorder="1" applyAlignment="1">
      <alignment horizontal="justify" vertical="top"/>
    </xf>
    <xf numFmtId="0" fontId="0" fillId="0" borderId="0" xfId="0" applyBorder="1" applyAlignment="1">
      <alignment horizontal="justify" vertical="top"/>
    </xf>
    <xf numFmtId="0" fontId="2" fillId="0" borderId="0" xfId="0" applyFont="1" applyFill="1" applyBorder="1" applyAlignment="1">
      <alignment horizontal="justify" vertical="top"/>
    </xf>
    <xf numFmtId="0" fontId="0" fillId="0" borderId="14" xfId="0" applyBorder="1" applyAlignment="1">
      <alignment horizontal="justify" vertical="top"/>
    </xf>
    <xf numFmtId="0" fontId="0" fillId="0" borderId="13" xfId="0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vertical="top"/>
    </xf>
    <xf numFmtId="0" fontId="0" fillId="0" borderId="14" xfId="0" applyBorder="1" applyAlignment="1">
      <alignment vertical="top"/>
    </xf>
    <xf numFmtId="164" fontId="0" fillId="0" borderId="0" xfId="0" applyNumberFormat="1" applyBorder="1" applyAlignment="1" applyProtection="1">
      <alignment horizontal="center" vertical="top"/>
      <protection hidden="1"/>
    </xf>
    <xf numFmtId="0" fontId="2" fillId="0" borderId="0" xfId="0" applyFont="1" applyBorder="1" applyAlignment="1">
      <alignment horizontal="justify" vertical="top"/>
    </xf>
    <xf numFmtId="6" fontId="3" fillId="0" borderId="19" xfId="0" applyNumberFormat="1" applyFont="1" applyFill="1" applyBorder="1" applyAlignment="1">
      <alignment horizontal="center"/>
    </xf>
    <xf numFmtId="2" fontId="2" fillId="0" borderId="19" xfId="0" applyNumberFormat="1" applyFont="1" applyFill="1" applyBorder="1" applyAlignment="1">
      <alignment/>
    </xf>
    <xf numFmtId="6" fontId="3" fillId="0" borderId="13" xfId="0" applyNumberFormat="1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/>
    </xf>
    <xf numFmtId="6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0" fontId="67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10" xfId="0" applyFont="1" applyBorder="1" applyAlignment="1" applyProtection="1">
      <alignment horizontal="center"/>
      <protection hidden="1"/>
    </xf>
    <xf numFmtId="6" fontId="3" fillId="0" borderId="10" xfId="0" applyNumberFormat="1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/>
      <protection hidden="1"/>
    </xf>
    <xf numFmtId="0" fontId="2" fillId="0" borderId="12" xfId="0" applyFont="1" applyBorder="1" applyAlignment="1" applyProtection="1">
      <alignment/>
      <protection hidden="1"/>
    </xf>
    <xf numFmtId="8" fontId="2" fillId="0" borderId="10" xfId="0" applyNumberFormat="1" applyFont="1" applyBorder="1" applyAlignment="1" applyProtection="1">
      <alignment/>
      <protection hidden="1"/>
    </xf>
    <xf numFmtId="0" fontId="3" fillId="0" borderId="13" xfId="0" applyFont="1" applyBorder="1" applyAlignment="1" applyProtection="1">
      <alignment/>
      <protection hidden="1"/>
    </xf>
    <xf numFmtId="0" fontId="2" fillId="0" borderId="14" xfId="0" applyFont="1" applyBorder="1" applyAlignment="1" applyProtection="1">
      <alignment/>
      <protection hidden="1"/>
    </xf>
    <xf numFmtId="0" fontId="3" fillId="0" borderId="15" xfId="0" applyFont="1" applyBorder="1" applyAlignment="1" applyProtection="1">
      <alignment/>
      <protection hidden="1"/>
    </xf>
    <xf numFmtId="0" fontId="2" fillId="0" borderId="16" xfId="0" applyFont="1" applyBorder="1" applyAlignment="1" applyProtection="1">
      <alignment/>
      <protection hidden="1"/>
    </xf>
    <xf numFmtId="0" fontId="0" fillId="0" borderId="19" xfId="0" applyBorder="1" applyAlignment="1" applyProtection="1">
      <alignment horizontal="center"/>
      <protection hidden="1"/>
    </xf>
    <xf numFmtId="6" fontId="3" fillId="0" borderId="19" xfId="0" applyNumberFormat="1" applyFont="1" applyBorder="1" applyAlignment="1" applyProtection="1">
      <alignment horizontal="center"/>
      <protection hidden="1"/>
    </xf>
    <xf numFmtId="8" fontId="2" fillId="0" borderId="19" xfId="0" applyNumberFormat="1" applyFont="1" applyBorder="1" applyAlignment="1" applyProtection="1">
      <alignment/>
      <protection hidden="1"/>
    </xf>
    <xf numFmtId="6" fontId="3" fillId="0" borderId="20" xfId="0" applyNumberFormat="1" applyFont="1" applyBorder="1" applyAlignment="1" applyProtection="1">
      <alignment horizontal="center"/>
      <protection hidden="1"/>
    </xf>
    <xf numFmtId="8" fontId="2" fillId="0" borderId="20" xfId="0" applyNumberFormat="1" applyFont="1" applyBorder="1" applyAlignment="1" applyProtection="1">
      <alignment/>
      <protection hidden="1"/>
    </xf>
    <xf numFmtId="0" fontId="2" fillId="0" borderId="20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21" xfId="0" applyFont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8" fontId="2" fillId="0" borderId="0" xfId="0" applyNumberFormat="1" applyFont="1" applyBorder="1" applyAlignment="1" applyProtection="1">
      <alignment horizontal="center"/>
      <protection hidden="1"/>
    </xf>
    <xf numFmtId="8" fontId="2" fillId="0" borderId="0" xfId="0" applyNumberFormat="1" applyFont="1" applyBorder="1" applyAlignment="1" applyProtection="1">
      <alignment/>
      <protection hidden="1"/>
    </xf>
    <xf numFmtId="0" fontId="3" fillId="0" borderId="0" xfId="0" applyFont="1" applyBorder="1" applyAlignment="1">
      <alignment horizontal="center"/>
    </xf>
    <xf numFmtId="6" fontId="3" fillId="0" borderId="19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0" fontId="1" fillId="0" borderId="0" xfId="0" applyFont="1" applyAlignment="1">
      <alignment horizontal="justify" vertical="top" wrapText="1"/>
    </xf>
    <xf numFmtId="0" fontId="1" fillId="0" borderId="17" xfId="0" applyFont="1" applyBorder="1" applyAlignment="1" applyProtection="1">
      <alignment horizontal="left"/>
      <protection hidden="1" locked="0"/>
    </xf>
    <xf numFmtId="174" fontId="1" fillId="0" borderId="17" xfId="0" applyNumberFormat="1" applyFont="1" applyBorder="1" applyAlignment="1" applyProtection="1">
      <alignment horizontal="right"/>
      <protection hidden="1" locked="0"/>
    </xf>
    <xf numFmtId="0" fontId="0" fillId="0" borderId="0" xfId="0" applyFont="1" applyAlignment="1">
      <alignment wrapText="1"/>
    </xf>
    <xf numFmtId="172" fontId="0" fillId="0" borderId="0" xfId="0" applyNumberFormat="1" applyAlignment="1">
      <alignment horizontal="justify" vertical="top"/>
    </xf>
    <xf numFmtId="0" fontId="16" fillId="0" borderId="0" xfId="0" applyFont="1" applyAlignment="1">
      <alignment vertical="top"/>
    </xf>
    <xf numFmtId="2" fontId="0" fillId="0" borderId="0" xfId="0" applyNumberFormat="1" applyAlignment="1">
      <alignment wrapText="1"/>
    </xf>
    <xf numFmtId="2" fontId="0" fillId="0" borderId="0" xfId="0" applyNumberFormat="1" applyAlignment="1">
      <alignment vertical="top"/>
    </xf>
    <xf numFmtId="2" fontId="0" fillId="0" borderId="0" xfId="57" applyNumberFormat="1">
      <alignment/>
      <protection/>
    </xf>
    <xf numFmtId="2" fontId="1" fillId="0" borderId="0" xfId="0" applyNumberFormat="1" applyFont="1" applyAlignment="1">
      <alignment/>
    </xf>
    <xf numFmtId="0" fontId="0" fillId="0" borderId="0" xfId="0" applyBorder="1" applyAlignment="1">
      <alignment horizontal="justify" wrapText="1"/>
    </xf>
    <xf numFmtId="0" fontId="0" fillId="0" borderId="22" xfId="0" applyBorder="1" applyAlignment="1">
      <alignment/>
    </xf>
    <xf numFmtId="0" fontId="0" fillId="0" borderId="23" xfId="0" applyBorder="1" applyAlignment="1">
      <alignment horizontal="justify" wrapText="1"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4" fontId="27" fillId="0" borderId="27" xfId="0" applyNumberFormat="1" applyFont="1" applyBorder="1" applyAlignment="1" applyProtection="1">
      <alignment horizontal="justify" wrapText="1"/>
      <protection hidden="1" locked="0"/>
    </xf>
    <xf numFmtId="2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6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57" applyBorder="1">
      <alignment/>
      <protection/>
    </xf>
    <xf numFmtId="4" fontId="7" fillId="0" borderId="0" xfId="57" applyNumberFormat="1" applyFont="1" applyBorder="1" applyAlignment="1">
      <alignment horizontal="center"/>
      <protection/>
    </xf>
    <xf numFmtId="4" fontId="0" fillId="0" borderId="0" xfId="57" applyNumberFormat="1" applyBorder="1">
      <alignment/>
      <protection/>
    </xf>
    <xf numFmtId="3" fontId="1" fillId="0" borderId="0" xfId="57" applyNumberFormat="1" applyFont="1" applyBorder="1" applyAlignment="1">
      <alignment horizontal="center"/>
      <protection/>
    </xf>
    <xf numFmtId="4" fontId="0" fillId="0" borderId="0" xfId="57" applyNumberFormat="1" applyBorder="1" applyProtection="1">
      <alignment/>
      <protection hidden="1"/>
    </xf>
    <xf numFmtId="164" fontId="0" fillId="0" borderId="0" xfId="57" applyNumberFormat="1" applyBorder="1" applyAlignment="1" applyProtection="1">
      <alignment horizont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center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Fill="1" applyBorder="1" applyAlignment="1">
      <alignment/>
    </xf>
    <xf numFmtId="49" fontId="1" fillId="0" borderId="0" xfId="0" applyNumberFormat="1" applyFont="1" applyAlignment="1" applyProtection="1">
      <alignment/>
      <protection hidden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justify" vertical="top"/>
    </xf>
    <xf numFmtId="0" fontId="31" fillId="0" borderId="0" xfId="0" applyFont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15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>
      <alignment horizontal="right"/>
    </xf>
    <xf numFmtId="0" fontId="1" fillId="0" borderId="0" xfId="0" applyFont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1" fillId="0" borderId="18" xfId="0" applyFont="1" applyBorder="1" applyAlignment="1" applyProtection="1">
      <alignment horizontal="center"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68" fillId="0" borderId="0" xfId="0" applyFont="1" applyAlignment="1" applyProtection="1">
      <alignment horizontal="center" vertical="center"/>
      <protection hidden="1"/>
    </xf>
    <xf numFmtId="0" fontId="28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wrapText="1"/>
    </xf>
    <xf numFmtId="0" fontId="13" fillId="0" borderId="11" xfId="0" applyFont="1" applyBorder="1" applyAlignment="1" applyProtection="1">
      <alignment horizontal="center"/>
      <protection hidden="1"/>
    </xf>
    <xf numFmtId="0" fontId="13" fillId="0" borderId="18" xfId="0" applyFont="1" applyBorder="1" applyAlignment="1" applyProtection="1">
      <alignment horizontal="center"/>
      <protection hidden="1"/>
    </xf>
    <xf numFmtId="0" fontId="0" fillId="0" borderId="18" xfId="0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21" fillId="0" borderId="15" xfId="0" applyFont="1" applyBorder="1" applyAlignment="1" applyProtection="1">
      <alignment horizontal="center"/>
      <protection hidden="1"/>
    </xf>
    <xf numFmtId="0" fontId="22" fillId="0" borderId="17" xfId="0" applyFont="1" applyBorder="1" applyAlignment="1" applyProtection="1">
      <alignment/>
      <protection hidden="1"/>
    </xf>
    <xf numFmtId="0" fontId="0" fillId="0" borderId="0" xfId="0" applyFont="1" applyBorder="1" applyAlignment="1">
      <alignment horizontal="left" vertical="top"/>
    </xf>
    <xf numFmtId="0" fontId="4" fillId="0" borderId="1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5" fillId="0" borderId="15" xfId="0" applyFont="1" applyBorder="1" applyAlignment="1">
      <alignment horizontal="justify" vertical="top" wrapText="1"/>
    </xf>
    <xf numFmtId="0" fontId="15" fillId="0" borderId="17" xfId="0" applyFont="1" applyBorder="1" applyAlignment="1">
      <alignment horizontal="justify" vertical="top" wrapText="1"/>
    </xf>
    <xf numFmtId="0" fontId="15" fillId="0" borderId="16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1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justify" vertical="top" wrapText="1"/>
    </xf>
    <xf numFmtId="0" fontId="1" fillId="0" borderId="17" xfId="0" applyFont="1" applyBorder="1" applyAlignment="1" applyProtection="1">
      <alignment horizontal="justify" vertical="top" wrapText="1"/>
      <protection hidden="1" locked="0"/>
    </xf>
    <xf numFmtId="0" fontId="0" fillId="0" borderId="17" xfId="0" applyBorder="1" applyAlignment="1">
      <alignment/>
    </xf>
    <xf numFmtId="0" fontId="27" fillId="0" borderId="28" xfId="0" applyFont="1" applyBorder="1" applyAlignment="1">
      <alignment horizontal="justify" wrapText="1"/>
    </xf>
    <xf numFmtId="0" fontId="27" fillId="0" borderId="29" xfId="0" applyFont="1" applyBorder="1" applyAlignment="1">
      <alignment horizontal="justify" wrapText="1"/>
    </xf>
    <xf numFmtId="0" fontId="27" fillId="0" borderId="30" xfId="0" applyFont="1" applyBorder="1" applyAlignment="1">
      <alignment horizontal="justify" wrapText="1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horizontal="justify" vertical="top" wrapText="1"/>
    </xf>
    <xf numFmtId="0" fontId="3" fillId="0" borderId="0" xfId="0" applyFont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21" xfId="0" applyFont="1" applyBorder="1" applyAlignment="1" applyProtection="1">
      <alignment horizontal="center"/>
      <protection hidden="1"/>
    </xf>
    <xf numFmtId="0" fontId="3" fillId="0" borderId="20" xfId="0" applyFont="1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25" fillId="0" borderId="0" xfId="0" applyFont="1" applyAlignment="1" applyProtection="1">
      <alignment horizontal="justify" wrapText="1"/>
      <protection hidden="1"/>
    </xf>
    <xf numFmtId="0" fontId="25" fillId="0" borderId="0" xfId="0" applyFont="1" applyAlignment="1" applyProtection="1">
      <alignment horizontal="center"/>
      <protection hidden="1"/>
    </xf>
    <xf numFmtId="8" fontId="2" fillId="0" borderId="31" xfId="0" applyNumberFormat="1" applyFont="1" applyBorder="1" applyAlignment="1" applyProtection="1">
      <alignment horizontal="center"/>
      <protection hidden="1"/>
    </xf>
    <xf numFmtId="6" fontId="3" fillId="0" borderId="31" xfId="0" applyNumberFormat="1" applyFont="1" applyBorder="1" applyAlignment="1" applyProtection="1">
      <alignment horizontal="center"/>
      <protection hidden="1"/>
    </xf>
    <xf numFmtId="0" fontId="2" fillId="0" borderId="20" xfId="0" applyFont="1" applyBorder="1" applyAlignment="1" applyProtection="1">
      <alignment horizontal="center"/>
      <protection hidden="1"/>
    </xf>
    <xf numFmtId="8" fontId="2" fillId="0" borderId="10" xfId="0" applyNumberFormat="1" applyFont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6" fontId="3" fillId="0" borderId="10" xfId="0" applyNumberFormat="1" applyFont="1" applyBorder="1" applyAlignment="1" applyProtection="1">
      <alignment horizontal="center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333375</xdr:colOff>
      <xdr:row>1</xdr:row>
      <xdr:rowOff>133350</xdr:rowOff>
    </xdr:to>
    <xdr:pic>
      <xdr:nvPicPr>
        <xdr:cNvPr id="1" name="Picture 3" descr="Register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05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342900</xdr:colOff>
      <xdr:row>1</xdr:row>
      <xdr:rowOff>142875</xdr:rowOff>
    </xdr:to>
    <xdr:pic>
      <xdr:nvPicPr>
        <xdr:cNvPr id="1" name="Picture 3" descr="Register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145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219075</xdr:colOff>
      <xdr:row>3</xdr:row>
      <xdr:rowOff>95250</xdr:rowOff>
    </xdr:to>
    <xdr:pic>
      <xdr:nvPicPr>
        <xdr:cNvPr id="1" name="Picture 3" descr="Register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05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219075</xdr:colOff>
      <xdr:row>3</xdr:row>
      <xdr:rowOff>95250</xdr:rowOff>
    </xdr:to>
    <xdr:pic>
      <xdr:nvPicPr>
        <xdr:cNvPr id="1" name="Picture 3" descr="Register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05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4</xdr:col>
      <xdr:colOff>238125</xdr:colOff>
      <xdr:row>3</xdr:row>
      <xdr:rowOff>95250</xdr:rowOff>
    </xdr:to>
    <xdr:pic>
      <xdr:nvPicPr>
        <xdr:cNvPr id="1" name="Picture 3" descr="Register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2305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219075</xdr:colOff>
      <xdr:row>3</xdr:row>
      <xdr:rowOff>95250</xdr:rowOff>
    </xdr:to>
    <xdr:pic>
      <xdr:nvPicPr>
        <xdr:cNvPr id="1" name="Picture 3" descr="Register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05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IJ243"/>
  <sheetViews>
    <sheetView workbookViewId="0" topLeftCell="I1">
      <selection activeCell="R3" sqref="R3"/>
    </sheetView>
  </sheetViews>
  <sheetFormatPr defaultColWidth="10.28125" defaultRowHeight="12.75"/>
  <cols>
    <col min="1" max="2" width="9.140625" style="0" hidden="1" customWidth="1"/>
    <col min="3" max="3" width="10.140625" style="0" hidden="1" customWidth="1"/>
    <col min="4" max="8" width="9.140625" style="0" hidden="1" customWidth="1"/>
    <col min="9" max="9" width="9.140625" style="0" customWidth="1"/>
    <col min="10" max="10" width="20.421875" style="0" customWidth="1"/>
    <col min="11" max="11" width="14.7109375" style="0" customWidth="1"/>
    <col min="12" max="12" width="15.140625" style="0" customWidth="1"/>
    <col min="13" max="13" width="12.7109375" style="0" customWidth="1"/>
    <col min="14" max="14" width="2.28125" style="0" customWidth="1"/>
    <col min="15" max="18" width="12.7109375" style="0" customWidth="1"/>
    <col min="19" max="19" width="1.421875" style="0" customWidth="1"/>
    <col min="20" max="22" width="9.140625" style="0" hidden="1" customWidth="1"/>
    <col min="23" max="23" width="11.140625" style="0" hidden="1" customWidth="1"/>
    <col min="24" max="24" width="10.7109375" style="0" hidden="1" customWidth="1"/>
    <col min="25" max="28" width="9.140625" style="0" hidden="1" customWidth="1"/>
    <col min="29" max="29" width="10.421875" style="0" hidden="1" customWidth="1"/>
    <col min="30" max="30" width="9.140625" style="0" hidden="1" customWidth="1"/>
    <col min="31" max="31" width="11.140625" style="0" hidden="1" customWidth="1"/>
    <col min="32" max="245" width="9.140625" style="0" hidden="1" customWidth="1"/>
    <col min="246" max="246" width="9.140625" style="0" customWidth="1"/>
    <col min="247" max="247" width="10.8515625" style="0" customWidth="1"/>
    <col min="248" max="251" width="9.140625" style="0" customWidth="1"/>
    <col min="252" max="252" width="11.28125" style="0" customWidth="1"/>
  </cols>
  <sheetData>
    <row r="1" spans="9:18" ht="35.25">
      <c r="I1" s="200"/>
      <c r="J1" s="201"/>
      <c r="K1" s="201"/>
      <c r="L1" s="201"/>
      <c r="M1" s="201"/>
      <c r="N1" s="201"/>
      <c r="O1" s="201"/>
      <c r="P1" s="201"/>
      <c r="Q1" s="201"/>
      <c r="R1" s="63"/>
    </row>
    <row r="3" spans="17:18" ht="12.75">
      <c r="Q3" s="23" t="s">
        <v>43</v>
      </c>
      <c r="R3" s="84">
        <f ca="1">TODAY()</f>
        <v>42327</v>
      </c>
    </row>
    <row r="4" spans="10:17" ht="12.75" customHeight="1">
      <c r="J4" s="209" t="str">
        <f>IF($J$75="","DON'T FORGET TO FILL IN THE AGENT'S NAME AT THE BOTTOM OF THE PAGE!","")</f>
        <v>DON'T FORGET TO FILL IN THE AGENT'S NAME AT THE BOTTOM OF THE PAGE!</v>
      </c>
      <c r="K4" s="209"/>
      <c r="L4" s="209"/>
      <c r="M4" s="209"/>
      <c r="N4" s="209"/>
      <c r="O4" s="209"/>
      <c r="P4" s="209"/>
      <c r="Q4" s="209"/>
    </row>
    <row r="5" ht="7.5" customHeight="1"/>
    <row r="6" spans="9:18" ht="20.25">
      <c r="I6" s="202" t="s">
        <v>92</v>
      </c>
      <c r="J6" s="202"/>
      <c r="K6" s="202"/>
      <c r="L6" s="202"/>
      <c r="M6" s="202"/>
      <c r="N6" s="202"/>
      <c r="O6" s="202"/>
      <c r="P6" s="202"/>
      <c r="Q6" s="202"/>
      <c r="R6" s="203"/>
    </row>
    <row r="7" ht="7.5" customHeight="1"/>
    <row r="8" spans="9:15" ht="12.75">
      <c r="I8" s="21"/>
      <c r="J8" s="204" t="s">
        <v>29</v>
      </c>
      <c r="K8" s="204"/>
      <c r="L8" s="156">
        <v>40544</v>
      </c>
      <c r="M8" s="155">
        <v>2013</v>
      </c>
      <c r="N8" s="121"/>
      <c r="O8" s="121"/>
    </row>
    <row r="9" spans="9:19" ht="12.75">
      <c r="I9" s="21"/>
      <c r="J9" s="23"/>
      <c r="K9" s="23" t="s">
        <v>32</v>
      </c>
      <c r="M9" s="189" t="s">
        <v>132</v>
      </c>
      <c r="N9" s="195" t="str">
        <f>IF($O$9=" ","","&gt;&gt;")</f>
        <v>&gt;&gt;</v>
      </c>
      <c r="O9" s="192" t="str">
        <f>VLOOKUP($M$9,HY39:HZ80,2,TRUE)</f>
        <v>(requires state specific enrollment materials)</v>
      </c>
      <c r="P9" s="190"/>
      <c r="Q9" s="190"/>
      <c r="R9" s="54"/>
      <c r="S9" s="83"/>
    </row>
    <row r="10" spans="9:18" ht="12.75">
      <c r="I10" s="205" t="str">
        <f>IF($M$9="NJ","AVAILABLE ONLY TO GROUPS WITH 51+ ELIGIBLE LIVES",IF($M$9="FL","AVAILABLE ONLY TO GROUPS WITH 51+ ELIGIBLE LIVES",IF($M$9="VT","AVAILABLE ONLY TO GROUPS WITH 51+ ELIGIBLE LIVES","AVAILABLE ONLY TO GROUPS WITH 2 OR MORE ENROLLED LIVES")))</f>
        <v>AVAILABLE ONLY TO GROUPS WITH 2 OR MORE ENROLLED LIVES</v>
      </c>
      <c r="J10" s="205"/>
      <c r="K10" s="205"/>
      <c r="L10" s="205"/>
      <c r="M10" s="205"/>
      <c r="N10" s="205"/>
      <c r="O10" s="205"/>
      <c r="P10" s="205"/>
      <c r="Q10" s="205"/>
      <c r="R10" s="19"/>
    </row>
    <row r="11" spans="9:18" ht="7.5" customHeight="1"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9:18" ht="12.75" customHeight="1">
      <c r="I12" s="52" t="s">
        <v>127</v>
      </c>
      <c r="L12" s="53">
        <v>0</v>
      </c>
      <c r="M12" s="52" t="s">
        <v>47</v>
      </c>
      <c r="O12" s="21" t="s">
        <v>90</v>
      </c>
      <c r="P12" s="19"/>
      <c r="Q12" s="19"/>
      <c r="R12" s="120" t="s">
        <v>91</v>
      </c>
    </row>
    <row r="13" spans="9:15" ht="12.75" customHeight="1">
      <c r="I13" s="211" t="s">
        <v>128</v>
      </c>
      <c r="J13" s="211"/>
      <c r="K13" s="211"/>
      <c r="L13" s="53">
        <v>0</v>
      </c>
      <c r="M13" s="52" t="s">
        <v>47</v>
      </c>
      <c r="N13" s="18"/>
      <c r="O13" s="18"/>
    </row>
    <row r="14" ht="6" customHeight="1"/>
    <row r="15" spans="11:12" ht="12.75">
      <c r="K15" s="25">
        <v>5000</v>
      </c>
      <c r="L15" s="21" t="s">
        <v>23</v>
      </c>
    </row>
    <row r="16" spans="10:12" ht="12.75">
      <c r="J16" s="37">
        <f>IF($K$16&gt;K15,"INVALID ENTRY -- VOID QUOTE","")</f>
      </c>
      <c r="K16" s="25">
        <v>2500</v>
      </c>
      <c r="L16" s="44" t="str">
        <f>IF(K16="","",IF(K16=0,"","Outpatient I Benefit (R-02797)"))</f>
        <v>Outpatient I Benefit (R-02797)</v>
      </c>
    </row>
    <row r="17" spans="10:12" ht="12.75">
      <c r="J17" s="37">
        <f>IF(OR($K$17=15,$K$17=20,$K$17=""),"","INVALID ENTRY -- VOID QUOTE")</f>
      </c>
      <c r="K17" s="25">
        <v>15</v>
      </c>
      <c r="L17" s="44" t="str">
        <f>IF(K17="","",IF(K17=0,"","Physician Office Visit Benefit (R-02798)"))</f>
        <v>Physician Office Visit Benefit (R-02798)</v>
      </c>
    </row>
    <row r="18" spans="10:22" ht="12.75">
      <c r="J18" s="37"/>
      <c r="K18" s="25">
        <v>200</v>
      </c>
      <c r="L18" s="44" t="str">
        <f>IF(K18="","",IF(K18=0,"","Wellness Benefit (R-02799)"))</f>
        <v>Wellness Benefit (R-02799)</v>
      </c>
      <c r="N18" s="196">
        <f>IF(OR($K$18&lt;=0,$M$9&lt;&gt;"IN (requires state specific enrollment materials)"),"","&lt;&lt;&lt;NOT AVAILABLE IN INDIANA-MUST LEAVE BLANK&gt;&gt;&gt;")</f>
      </c>
      <c r="O18" s="196"/>
      <c r="P18" s="196"/>
      <c r="Q18" s="196"/>
      <c r="R18" s="196"/>
      <c r="S18" s="196"/>
      <c r="T18" s="196"/>
      <c r="U18" s="197"/>
      <c r="V18" s="197"/>
    </row>
    <row r="19" spans="10:12" ht="12.75" hidden="1">
      <c r="J19" s="37">
        <f>IF(OR($M$9="md (requires state specific enrollment materials)",$M$9="nc",$M$9="tn (requires state specific enrollment materials)",$M$9="me (requires state specific enrollment materials)"),"RX RIDER NOT AVAILABLE","")</f>
      </c>
      <c r="K19" s="122"/>
      <c r="L19" s="44">
        <f>IF(K19="","",IF(K19=0,"","Prescription Drug Rider"))</f>
      </c>
    </row>
    <row r="20" spans="10:12" ht="12.75">
      <c r="J20" s="37">
        <f>IF(OR($M$9="md (requires state specific enrollment forms)",$L$9="nc"),"LIFE/AD&amp;D RIDER NOT AVAILABLE","")</f>
      </c>
      <c r="K20" s="25">
        <v>15000</v>
      </c>
      <c r="L20" s="44" t="str">
        <f>IF(K20="","",IF(K20=0,"","Term Life/AD&amp;D Rider"))</f>
        <v>Term Life/AD&amp;D Rider</v>
      </c>
    </row>
    <row r="21" spans="10:12" ht="7.5" customHeight="1">
      <c r="J21" s="37"/>
      <c r="K21" s="82"/>
      <c r="L21" s="44"/>
    </row>
    <row r="22" spans="10:12" ht="7.5" customHeight="1">
      <c r="J22" s="37"/>
      <c r="K22" s="48"/>
      <c r="L22" s="44"/>
    </row>
    <row r="23" ht="6" customHeight="1">
      <c r="K23" s="83"/>
    </row>
    <row r="24" spans="11:244" ht="12.75">
      <c r="K24" s="19" t="s">
        <v>21</v>
      </c>
      <c r="L24" s="19" t="s">
        <v>19</v>
      </c>
      <c r="M24" s="19" t="s">
        <v>19</v>
      </c>
      <c r="N24" s="19"/>
      <c r="O24" s="206" t="s">
        <v>49</v>
      </c>
      <c r="P24" s="207"/>
      <c r="Q24" s="207"/>
      <c r="R24" s="208"/>
      <c r="U24" s="97" t="s">
        <v>80</v>
      </c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G24" s="85"/>
      <c r="AH24" s="85"/>
      <c r="AI24" s="85"/>
      <c r="AJ24" s="85"/>
      <c r="AK24" s="28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1"/>
      <c r="BX24" s="97" t="s">
        <v>118</v>
      </c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J24" s="85"/>
      <c r="CK24" s="85"/>
      <c r="CL24" s="85"/>
      <c r="CM24" s="85"/>
      <c r="CN24" s="28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A24" s="81"/>
      <c r="EC24" s="97" t="s">
        <v>81</v>
      </c>
      <c r="ED24" s="85"/>
      <c r="EE24" s="85"/>
      <c r="EF24" s="85"/>
      <c r="EG24" s="85"/>
      <c r="EH24" s="85"/>
      <c r="EI24" s="85"/>
      <c r="EJ24" s="85"/>
      <c r="EK24" s="85"/>
      <c r="EL24" s="85"/>
      <c r="EM24" s="85"/>
      <c r="EO24" s="85"/>
      <c r="EP24" s="85"/>
      <c r="EQ24" s="85"/>
      <c r="ER24" s="85"/>
      <c r="ES24" s="28"/>
      <c r="EV24" s="85"/>
      <c r="EW24" s="85"/>
      <c r="EX24" s="85"/>
      <c r="EY24" s="85"/>
      <c r="EZ24" s="85"/>
      <c r="FA24" s="85"/>
      <c r="FB24" s="85"/>
      <c r="FC24" s="85"/>
      <c r="FD24" s="85"/>
      <c r="FE24" s="85"/>
      <c r="FF24" s="85"/>
      <c r="FG24" s="85"/>
      <c r="FH24" s="85"/>
      <c r="FI24" s="85"/>
      <c r="FJ24" s="85"/>
      <c r="FK24" s="85"/>
      <c r="FL24" s="85"/>
      <c r="FM24" s="85"/>
      <c r="FN24" s="85"/>
      <c r="FO24" s="85"/>
      <c r="FP24" s="85"/>
      <c r="FQ24" s="85"/>
      <c r="FR24" s="85"/>
      <c r="FS24" s="85"/>
      <c r="FT24" s="85"/>
      <c r="FU24" s="85"/>
      <c r="FV24" s="85"/>
      <c r="FW24" s="85"/>
      <c r="FX24" s="85"/>
      <c r="FY24" s="85"/>
      <c r="FZ24" s="85"/>
      <c r="GA24" s="85"/>
      <c r="GB24" s="85"/>
      <c r="GC24" s="85"/>
      <c r="GD24" s="85"/>
      <c r="GE24" s="81"/>
      <c r="GG24" s="97" t="s">
        <v>82</v>
      </c>
      <c r="GH24" s="85"/>
      <c r="GI24" s="85"/>
      <c r="GJ24" s="85"/>
      <c r="GK24" s="85"/>
      <c r="GL24" s="85"/>
      <c r="GM24" s="85"/>
      <c r="GN24" s="85"/>
      <c r="GO24" s="85"/>
      <c r="GP24" s="85"/>
      <c r="GQ24" s="85"/>
      <c r="GS24" s="85"/>
      <c r="GT24" s="85"/>
      <c r="GU24" s="85"/>
      <c r="GV24" s="85"/>
      <c r="GW24" s="28"/>
      <c r="GZ24" s="85"/>
      <c r="HA24" s="85"/>
      <c r="HB24" s="85"/>
      <c r="HC24" s="85"/>
      <c r="HD24" s="85"/>
      <c r="HE24" s="85"/>
      <c r="HF24" s="85"/>
      <c r="HG24" s="85"/>
      <c r="HH24" s="85"/>
      <c r="HI24" s="85"/>
      <c r="HJ24" s="85"/>
      <c r="HK24" s="85"/>
      <c r="HL24" s="85"/>
      <c r="HM24" s="85"/>
      <c r="HN24" s="85"/>
      <c r="HO24" s="85"/>
      <c r="HP24" s="85"/>
      <c r="HQ24" s="85"/>
      <c r="HR24" s="85"/>
      <c r="HS24" s="85"/>
      <c r="HT24" s="85"/>
      <c r="HU24" s="85"/>
      <c r="HV24" s="85"/>
      <c r="HW24" s="85"/>
      <c r="HX24" s="85"/>
      <c r="HY24" s="85"/>
      <c r="HZ24" s="85"/>
      <c r="IA24" s="85"/>
      <c r="IB24" s="85"/>
      <c r="IC24" s="85"/>
      <c r="ID24" s="85"/>
      <c r="IE24" s="85"/>
      <c r="IF24" s="85"/>
      <c r="IG24" s="85"/>
      <c r="IH24" s="85"/>
      <c r="II24" s="85"/>
      <c r="IJ24" s="81"/>
    </row>
    <row r="25" spans="11:244" ht="12.75">
      <c r="K25" s="22" t="s">
        <v>22</v>
      </c>
      <c r="L25" s="22" t="s">
        <v>20</v>
      </c>
      <c r="M25" s="22" t="s">
        <v>28</v>
      </c>
      <c r="N25" s="22"/>
      <c r="O25" s="70"/>
      <c r="P25" s="187" t="s">
        <v>124</v>
      </c>
      <c r="Q25" s="188" t="s">
        <v>48</v>
      </c>
      <c r="R25" s="71"/>
      <c r="U25" s="27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G25" s="28"/>
      <c r="AH25" s="28"/>
      <c r="AI25" s="28"/>
      <c r="AJ25" s="28"/>
      <c r="AK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31"/>
      <c r="BX25" s="27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J25" s="28"/>
      <c r="CK25" s="28"/>
      <c r="CL25" s="28"/>
      <c r="CM25" s="28"/>
      <c r="CN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31"/>
      <c r="EC25" s="27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O25" s="28"/>
      <c r="EP25" s="28"/>
      <c r="EQ25" s="28"/>
      <c r="ER25" s="28"/>
      <c r="ES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31"/>
      <c r="GG25" s="27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S25" s="28"/>
      <c r="GT25" s="28"/>
      <c r="GU25" s="28"/>
      <c r="GV25" s="28"/>
      <c r="GW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  <c r="HZ25" s="28"/>
      <c r="IA25" s="28"/>
      <c r="IB25" s="28"/>
      <c r="IC25" s="28"/>
      <c r="ID25" s="28"/>
      <c r="IE25" s="28"/>
      <c r="IF25" s="28"/>
      <c r="IG25" s="28"/>
      <c r="IH25" s="28"/>
      <c r="II25" s="28"/>
      <c r="IJ25" s="31"/>
    </row>
    <row r="26" spans="3:244" ht="12.75">
      <c r="C26" t="s">
        <v>16</v>
      </c>
      <c r="D26" t="s">
        <v>17</v>
      </c>
      <c r="E26" t="s">
        <v>8</v>
      </c>
      <c r="F26" t="s">
        <v>18</v>
      </c>
      <c r="G26" s="17" t="s">
        <v>40</v>
      </c>
      <c r="H26" s="17" t="s">
        <v>41</v>
      </c>
      <c r="I26" s="17"/>
      <c r="O26" s="72"/>
      <c r="P26" s="187" t="s">
        <v>126</v>
      </c>
      <c r="Q26" s="73">
        <f>IF($Q$25="Bi-weekly",26,IF($Q$25="Weekly",52,24))</f>
        <v>24</v>
      </c>
      <c r="R26" s="74"/>
      <c r="U26" s="27"/>
      <c r="V26" s="28"/>
      <c r="W26" s="28"/>
      <c r="X26" s="86" t="s">
        <v>34</v>
      </c>
      <c r="Y26" s="28"/>
      <c r="Z26" s="28"/>
      <c r="AA26" s="28"/>
      <c r="AB26" s="28"/>
      <c r="AC26" s="28"/>
      <c r="AD26" s="28"/>
      <c r="AE26" s="28"/>
      <c r="AG26" s="28"/>
      <c r="AH26" s="28"/>
      <c r="AI26" s="28"/>
      <c r="AJ26" s="28"/>
      <c r="AK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182" t="str">
        <f>Q25</f>
        <v>Semi-Monthly</v>
      </c>
      <c r="BS26" s="49"/>
      <c r="BT26" s="29"/>
      <c r="BU26" s="28"/>
      <c r="BV26" s="31"/>
      <c r="BX26" s="27"/>
      <c r="BY26" s="28"/>
      <c r="BZ26" s="28"/>
      <c r="CA26" s="86" t="s">
        <v>34</v>
      </c>
      <c r="CB26" s="28"/>
      <c r="CC26" s="28"/>
      <c r="CD26" s="28"/>
      <c r="CE26" s="28"/>
      <c r="CF26" s="28"/>
      <c r="CG26" s="28"/>
      <c r="CH26" s="28"/>
      <c r="CJ26" s="28"/>
      <c r="CK26" s="28"/>
      <c r="CL26" s="28"/>
      <c r="CM26" s="28"/>
      <c r="CN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49" t="s">
        <v>48</v>
      </c>
      <c r="DX26" s="49" t="s">
        <v>45</v>
      </c>
      <c r="DY26" s="29" t="s">
        <v>46</v>
      </c>
      <c r="DZ26" s="28"/>
      <c r="EA26" s="31"/>
      <c r="EC26" s="27"/>
      <c r="ED26" s="28"/>
      <c r="EE26" s="28"/>
      <c r="EF26" s="86" t="s">
        <v>34</v>
      </c>
      <c r="EG26" s="28"/>
      <c r="EH26" s="28"/>
      <c r="EI26" s="28"/>
      <c r="EJ26" s="28"/>
      <c r="EK26" s="28"/>
      <c r="EL26" s="28"/>
      <c r="EM26" s="28"/>
      <c r="EO26" s="28"/>
      <c r="EP26" s="28"/>
      <c r="EQ26" s="28"/>
      <c r="ER26" s="28"/>
      <c r="ES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49" t="s">
        <v>48</v>
      </c>
      <c r="GB26" s="49" t="s">
        <v>45</v>
      </c>
      <c r="GC26" s="29" t="s">
        <v>46</v>
      </c>
      <c r="GD26" s="28"/>
      <c r="GE26" s="31"/>
      <c r="GG26" s="27"/>
      <c r="GH26" s="28"/>
      <c r="GI26" s="28"/>
      <c r="GJ26" s="86" t="s">
        <v>34</v>
      </c>
      <c r="GK26" s="28"/>
      <c r="GL26" s="28"/>
      <c r="GM26" s="28"/>
      <c r="GN26" s="28"/>
      <c r="GO26" s="28"/>
      <c r="GP26" s="28"/>
      <c r="GQ26" s="28"/>
      <c r="GS26" s="28"/>
      <c r="GT26" s="28"/>
      <c r="GU26" s="28"/>
      <c r="GV26" s="28"/>
      <c r="GW26" s="28"/>
      <c r="GZ26" s="28"/>
      <c r="HA26" s="28"/>
      <c r="HB26" s="28"/>
      <c r="HC26" s="28"/>
      <c r="HD26" s="28"/>
      <c r="HE26" s="28"/>
      <c r="HF26" s="28"/>
      <c r="HG26" s="28"/>
      <c r="HH26" s="28"/>
      <c r="HI26" s="28"/>
      <c r="HJ26" s="28"/>
      <c r="HK26" s="28"/>
      <c r="HL26" s="28"/>
      <c r="HM26" s="28"/>
      <c r="HN26" s="28"/>
      <c r="HO26" s="28"/>
      <c r="HP26" s="28"/>
      <c r="HQ26" s="28"/>
      <c r="HR26" s="28"/>
      <c r="HS26" s="28"/>
      <c r="HT26" s="28"/>
      <c r="HU26" s="28"/>
      <c r="HV26" s="28"/>
      <c r="HW26" s="28"/>
      <c r="HX26" s="28"/>
      <c r="HY26" s="28"/>
      <c r="HZ26" s="28"/>
      <c r="IA26" s="28"/>
      <c r="IB26" s="28"/>
      <c r="IC26" s="28"/>
      <c r="ID26" s="28"/>
      <c r="IE26" s="28"/>
      <c r="IF26" s="49" t="s">
        <v>48</v>
      </c>
      <c r="IG26" s="49" t="s">
        <v>45</v>
      </c>
      <c r="IH26" s="29" t="s">
        <v>46</v>
      </c>
      <c r="II26" s="28"/>
      <c r="IJ26" s="31"/>
    </row>
    <row r="27" spans="1:244" ht="12.75">
      <c r="A27" t="s">
        <v>9</v>
      </c>
      <c r="I27" s="16" t="s">
        <v>24</v>
      </c>
      <c r="O27" s="75"/>
      <c r="P27" s="68"/>
      <c r="Q27" s="68"/>
      <c r="R27" s="69"/>
      <c r="U27" s="27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G27" s="28"/>
      <c r="AH27" s="28"/>
      <c r="AI27" s="28"/>
      <c r="AJ27" s="28"/>
      <c r="AK27" s="28"/>
      <c r="AN27" s="28"/>
      <c r="AO27" s="86" t="s">
        <v>98</v>
      </c>
      <c r="AP27" s="86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86" t="s">
        <v>35</v>
      </c>
      <c r="BD27" s="28"/>
      <c r="BE27" s="28"/>
      <c r="BF27" s="86" t="s">
        <v>36</v>
      </c>
      <c r="BG27" s="28"/>
      <c r="BH27" s="28"/>
      <c r="BI27" s="28"/>
      <c r="BJ27" s="86" t="s">
        <v>37</v>
      </c>
      <c r="BK27" s="28"/>
      <c r="BL27" s="87"/>
      <c r="BM27" s="86" t="s">
        <v>38</v>
      </c>
      <c r="BN27" s="28"/>
      <c r="BO27" s="28"/>
      <c r="BP27" s="28"/>
      <c r="BQ27" s="28"/>
      <c r="BR27" s="184">
        <f>Q26</f>
        <v>24</v>
      </c>
      <c r="BS27" s="55"/>
      <c r="BT27" s="36"/>
      <c r="BU27" s="28"/>
      <c r="BV27" s="31"/>
      <c r="BX27" s="27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J27" s="28"/>
      <c r="CK27" s="28"/>
      <c r="CL27" s="28"/>
      <c r="CM27" s="28"/>
      <c r="CN27" s="28"/>
      <c r="CQ27" s="28"/>
      <c r="CR27" s="86" t="s">
        <v>98</v>
      </c>
      <c r="CS27" s="86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86" t="s">
        <v>35</v>
      </c>
      <c r="DG27" s="28"/>
      <c r="DH27" s="28"/>
      <c r="DI27" s="86" t="s">
        <v>36</v>
      </c>
      <c r="DJ27" s="28"/>
      <c r="DK27" s="28"/>
      <c r="DL27" s="28"/>
      <c r="DM27" s="86" t="s">
        <v>37</v>
      </c>
      <c r="DN27" s="28"/>
      <c r="DO27" s="87"/>
      <c r="DP27" s="86" t="s">
        <v>38</v>
      </c>
      <c r="DQ27" s="28"/>
      <c r="DR27" s="28"/>
      <c r="DS27" s="28"/>
      <c r="DT27" s="28"/>
      <c r="DU27" s="28"/>
      <c r="DV27" s="28">
        <v>12</v>
      </c>
      <c r="DW27" s="55">
        <v>24</v>
      </c>
      <c r="DX27" s="55">
        <v>26</v>
      </c>
      <c r="DY27" s="36">
        <v>52</v>
      </c>
      <c r="DZ27" s="28"/>
      <c r="EA27" s="31"/>
      <c r="EC27" s="27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O27" s="28"/>
      <c r="EP27" s="28"/>
      <c r="EQ27" s="28"/>
      <c r="ER27" s="28"/>
      <c r="ES27" s="28"/>
      <c r="EV27" s="28"/>
      <c r="EW27" s="86" t="s">
        <v>98</v>
      </c>
      <c r="EX27" s="86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86" t="s">
        <v>35</v>
      </c>
      <c r="FL27" s="28"/>
      <c r="FM27" s="28"/>
      <c r="FN27" s="86" t="s">
        <v>36</v>
      </c>
      <c r="FO27" s="28"/>
      <c r="FP27" s="28"/>
      <c r="FQ27" s="28"/>
      <c r="FR27" s="86" t="s">
        <v>37</v>
      </c>
      <c r="FS27" s="28"/>
      <c r="FT27" s="87"/>
      <c r="FU27" s="86" t="s">
        <v>38</v>
      </c>
      <c r="FV27" s="28"/>
      <c r="FW27" s="28"/>
      <c r="FX27" s="28"/>
      <c r="FY27" s="28"/>
      <c r="FZ27" s="28">
        <v>12</v>
      </c>
      <c r="GA27" s="55">
        <v>24</v>
      </c>
      <c r="GB27" s="55">
        <v>26</v>
      </c>
      <c r="GC27" s="36">
        <v>52</v>
      </c>
      <c r="GD27" s="28"/>
      <c r="GE27" s="31"/>
      <c r="GG27" s="27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S27" s="28"/>
      <c r="GT27" s="28"/>
      <c r="GU27" s="28"/>
      <c r="GV27" s="28"/>
      <c r="GW27" s="28"/>
      <c r="GZ27" s="28"/>
      <c r="HA27" s="86" t="s">
        <v>98</v>
      </c>
      <c r="HB27" s="86"/>
      <c r="HC27" s="28"/>
      <c r="HD27" s="28"/>
      <c r="HE27" s="28"/>
      <c r="HF27" s="28"/>
      <c r="HG27" s="28"/>
      <c r="HH27" s="28"/>
      <c r="HI27" s="28"/>
      <c r="HJ27" s="28"/>
      <c r="HK27" s="28"/>
      <c r="HL27" s="28"/>
      <c r="HM27" s="28"/>
      <c r="HN27" s="28"/>
      <c r="HO27" s="86" t="s">
        <v>35</v>
      </c>
      <c r="HP27" s="28"/>
      <c r="HQ27" s="28"/>
      <c r="HR27" s="86" t="s">
        <v>36</v>
      </c>
      <c r="HS27" s="28"/>
      <c r="HT27" s="28"/>
      <c r="HU27" s="28"/>
      <c r="HV27" s="86" t="s">
        <v>37</v>
      </c>
      <c r="HW27" s="28"/>
      <c r="HX27" s="87"/>
      <c r="HY27" s="86" t="s">
        <v>38</v>
      </c>
      <c r="HZ27" s="28"/>
      <c r="IA27" s="28"/>
      <c r="IB27" s="28"/>
      <c r="IC27" s="28"/>
      <c r="ID27" s="28"/>
      <c r="IE27" s="28">
        <v>12</v>
      </c>
      <c r="IF27" s="55">
        <v>24</v>
      </c>
      <c r="IG27" s="55">
        <v>26</v>
      </c>
      <c r="IH27" s="36">
        <v>52</v>
      </c>
      <c r="II27" s="28"/>
      <c r="IJ27" s="31"/>
    </row>
    <row r="28" spans="1:244" ht="12.75">
      <c r="A28" t="s">
        <v>10</v>
      </c>
      <c r="C28" s="98">
        <f>IF($M$9="FL",HLOOKUP($K$15,$X$31:$AM$35,2,TRUE),IF($M$9="CO",HLOOKUP($K$15,$CA$31:$CP$35,2,TRUE),IF($M$9="IN",HLOOKUP($K$15,$CA$31:$CP$35,2,TRUE),IF($M$9="TX",HLOOKUP($K$15,$EF$31:$EU$35,2,TRUE),HLOOKUP($K$15,$GJ$31:$GY$35,2,TRUE)))))</f>
        <v>26.67</v>
      </c>
      <c r="D28" s="98">
        <f>IF($K$16="",0,IF($M$9="FL",HLOOKUP($K$16,$AO$31:$BA$35,2,TRUE),IF($M$9="CO",HLOOKUP($K$16,$CR$31:$DD$35,2,TRUE),IF($M$9="IN",HLOOKUP($K$16,$CR$31:$DD$35,2,TRUE),IF($M$9="TX",HLOOKUP($K$16,$EW$31:$FI$35,2,TRUE),HLOOKUP($K$16,$HA$31:$HM$35,2,TRUE))))))</f>
        <v>19.19</v>
      </c>
      <c r="E28" s="98">
        <f>IF($K$17="",0,IF($M$9="FL",HLOOKUP($K$17,$BC$31:$BD$35,2,TRUE),IF($M$9="CO",HLOOKUP($K$17,$DF$31:$DG$35,2,TRUE),IF($M$9="IN",HLOOKUP($K$17,$DF$31:$DG$35,2,TRUE),IF($M$9="TX",HLOOKUP($K$17,$FK$31:$FL$35,2,TRUE),HLOOKUP($K$17,$HO$31:$HP$35,2,TRUE))))))</f>
        <v>4.28</v>
      </c>
      <c r="F28" s="98">
        <f>IF($K$18="",0,IF($M$9="FL",HLOOKUP($K$18,$BF$31:$BH$35,2,TRUE),IF($M$9="CO",HLOOKUP($K$18,$DI$31:$DK$35,2,TRUE),IF($M$9="IN",HLOOKUP($K$18,$DI$66:$DK$70,2,TRUE),IF($M$9="TX",HLOOKUP($K$18,$FN$31:$FP$35,2,TRUE),HLOOKUP($K$18,$HR$31:$HT$35,2,TRUE))))))</f>
        <v>3.35</v>
      </c>
      <c r="G28" s="98">
        <f>IF($K$19="",0,IF($M$9="FL",HLOOKUP($K$19,$BJ$31:$BK$35,2,TRUE),IF($M$9="CO",HLOOKUP($K$19,$DM$31:$DN$35,2,TRUE),IF($M$9="IN",HLOOKUP($K$19,$DM$31:$DN$35,2,TRUE),IF($M$9="TX",HLOOKUP($K$19,$FR$31:$FS$35,2,TRUE),HLOOKUP($K$19,$HV$31:$HW$35,2,TRUE))))))</f>
        <v>0</v>
      </c>
      <c r="H28" s="98">
        <f>IF($K$20="",0,IF($M$9="FL",HLOOKUP($K$20,$BM$31:$BP$35,2,TRUE),IF($M$9="CO",HLOOKUP($K$20,$DP$31:$DS$35,2,TRUE),IF($M$9="IN",HLOOKUP($K$20,$DP$31:$DS$35,2,TRUE),IF($M$9="TX",HLOOKUP($K$20,$FU$31:$FX$35,2,TRUE),HLOOKUP($K$20,$HY$31:$IB$35,2,TRUE))))))</f>
        <v>4.26</v>
      </c>
      <c r="J28" t="s">
        <v>25</v>
      </c>
      <c r="K28" s="24"/>
      <c r="L28" s="38">
        <f>IF(AND($K$16&lt;=($K$15),AND($K$16&lt;=2500),OR($K$17=15,$K$17=20,$K$17=""),OR($K$18=100,$K$18=200,$K$18=500,$K$18=""),OR($K$21="GENERIC",$K$21="GENERIC/BRAND",$K$21=""),OR($K$22=5000,$K$22=10000,$K$22=15000,$K$22=20000,$K$22=""),OR($K$46&lt;5000)),(C28+D28+E28+F28+G28+H28),"ERROR")</f>
        <v>57.75</v>
      </c>
      <c r="M28" s="38">
        <f>SUM(L28*K28)</f>
        <v>0</v>
      </c>
      <c r="N28" s="38"/>
      <c r="O28" s="76"/>
      <c r="P28" s="77"/>
      <c r="Q28" s="77">
        <f>(BR29*((100-$L$12)/100))</f>
        <v>28.875</v>
      </c>
      <c r="R28" s="58"/>
      <c r="U28" s="88"/>
      <c r="V28" s="89"/>
      <c r="W28" s="89"/>
      <c r="X28" s="90" t="s">
        <v>4</v>
      </c>
      <c r="Y28" s="91"/>
      <c r="Z28" s="91"/>
      <c r="AA28" s="91"/>
      <c r="AB28" s="91"/>
      <c r="AC28" s="91"/>
      <c r="AD28" s="91"/>
      <c r="AE28" s="91"/>
      <c r="AG28" s="91"/>
      <c r="AH28" s="91"/>
      <c r="AI28" s="91"/>
      <c r="AJ28" s="91"/>
      <c r="AK28" s="91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183"/>
      <c r="BS28" s="50"/>
      <c r="BT28" s="28"/>
      <c r="BU28" s="28"/>
      <c r="BV28" s="31"/>
      <c r="BX28" s="88"/>
      <c r="BY28" s="89"/>
      <c r="BZ28" s="89"/>
      <c r="CA28" s="90" t="s">
        <v>4</v>
      </c>
      <c r="CB28" s="91"/>
      <c r="CC28" s="91"/>
      <c r="CD28" s="91"/>
      <c r="CE28" s="91"/>
      <c r="CF28" s="91"/>
      <c r="CG28" s="91"/>
      <c r="CH28" s="91"/>
      <c r="CJ28" s="91"/>
      <c r="CK28" s="91"/>
      <c r="CL28" s="91"/>
      <c r="CM28" s="91"/>
      <c r="CN28" s="91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50"/>
      <c r="DX28" s="50"/>
      <c r="DY28" s="28"/>
      <c r="DZ28" s="28"/>
      <c r="EA28" s="31"/>
      <c r="EC28" s="88"/>
      <c r="ED28" s="89"/>
      <c r="EE28" s="89"/>
      <c r="EF28" s="90" t="s">
        <v>4</v>
      </c>
      <c r="EG28" s="91"/>
      <c r="EH28" s="91"/>
      <c r="EI28" s="91"/>
      <c r="EJ28" s="91"/>
      <c r="EK28" s="91"/>
      <c r="EL28" s="91"/>
      <c r="EM28" s="91"/>
      <c r="EO28" s="91"/>
      <c r="EP28" s="91"/>
      <c r="EQ28" s="91"/>
      <c r="ER28" s="91"/>
      <c r="ES28" s="91"/>
      <c r="EV28" s="89"/>
      <c r="EW28" s="89"/>
      <c r="EX28" s="89"/>
      <c r="EY28" s="89"/>
      <c r="EZ28" s="89"/>
      <c r="FA28" s="89"/>
      <c r="FB28" s="89"/>
      <c r="FC28" s="89"/>
      <c r="FD28" s="89"/>
      <c r="FE28" s="89"/>
      <c r="FF28" s="89"/>
      <c r="FG28" s="89"/>
      <c r="FH28" s="89"/>
      <c r="FI28" s="89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50"/>
      <c r="GB28" s="50"/>
      <c r="GC28" s="28"/>
      <c r="GD28" s="28"/>
      <c r="GE28" s="31"/>
      <c r="GG28" s="88"/>
      <c r="GH28" s="89"/>
      <c r="GI28" s="89"/>
      <c r="GJ28" s="90" t="s">
        <v>4</v>
      </c>
      <c r="GK28" s="91"/>
      <c r="GL28" s="91"/>
      <c r="GM28" s="91"/>
      <c r="GN28" s="91"/>
      <c r="GO28" s="91"/>
      <c r="GP28" s="91"/>
      <c r="GQ28" s="91"/>
      <c r="GS28" s="91"/>
      <c r="GT28" s="91"/>
      <c r="GU28" s="91"/>
      <c r="GV28" s="91"/>
      <c r="GW28" s="91"/>
      <c r="GZ28" s="89"/>
      <c r="HA28" s="89"/>
      <c r="HB28" s="89"/>
      <c r="HC28" s="89"/>
      <c r="HD28" s="89"/>
      <c r="HE28" s="89"/>
      <c r="HF28" s="89"/>
      <c r="HG28" s="89"/>
      <c r="HH28" s="89"/>
      <c r="HI28" s="89"/>
      <c r="HJ28" s="89"/>
      <c r="HK28" s="89"/>
      <c r="HL28" s="89"/>
      <c r="HM28" s="89"/>
      <c r="HN28" s="28"/>
      <c r="HO28" s="28"/>
      <c r="HP28" s="28"/>
      <c r="HQ28" s="28"/>
      <c r="HR28" s="28"/>
      <c r="HS28" s="28"/>
      <c r="HT28" s="28"/>
      <c r="HU28" s="28"/>
      <c r="HV28" s="28"/>
      <c r="HW28" s="28"/>
      <c r="HX28" s="28"/>
      <c r="HY28" s="28"/>
      <c r="HZ28" s="28"/>
      <c r="IA28" s="28"/>
      <c r="IB28" s="28"/>
      <c r="IC28" s="28"/>
      <c r="ID28" s="28"/>
      <c r="IE28" s="28"/>
      <c r="IF28" s="50"/>
      <c r="IG28" s="50"/>
      <c r="IH28" s="28"/>
      <c r="II28" s="28"/>
      <c r="IJ28" s="31"/>
    </row>
    <row r="29" spans="1:244" ht="12.75">
      <c r="A29" t="s">
        <v>11</v>
      </c>
      <c r="C29" s="98">
        <f>IF($M$9="FL",HLOOKUP($K$15,$X$31:$AM$35,3,TRUE),IF($M$9="CO",HLOOKUP($K$15,$CA$31:$CP$35,3,TRUE),IF($M$9="IN",HLOOKUP($K$15,$CA$31:$CP$35,3,TRUE),IF($M$9="TX",HLOOKUP($K$15,$EF$31:$EU$35,3,TRUE),HLOOKUP($K$15,$GJ$31:$GY$35,3,TRUE)))))</f>
        <v>48</v>
      </c>
      <c r="D29" s="98">
        <f>IF($K$16="",0,IF($M$9="FL",HLOOKUP($K$16,$AO$31:$BA$35,3,TRUE),IF($M$9="CO",HLOOKUP($K$16,$CR$31:$DD$35,3,TRUE),IF($M$9="IN",HLOOKUP($K$16,$CR$31:$DD$35,3,TRUE),IF($M$9="TX",HLOOKUP($K$16,$EW$31:$FI$35,3,TRUE),HLOOKUP($K$16,$HA$31:$HM$35,3,TRUE))))))</f>
        <v>34.56</v>
      </c>
      <c r="E29" s="98">
        <f>IF($K$17="",0,IF($M$9="FL",HLOOKUP($K$17,$BC$31:$BD$35,3,TRUE),IF($M$9="CO",HLOOKUP($K$17,$DF$31:$DG$35,3,TRUE),IF($M$9="IN",HLOOKUP($K$17,$DF$31:$DG$35,3,TRUE),IF($M$9="TX",HLOOKUP($K$17,$FK$31:$FL$35,3,TRUE),HLOOKUP($K$17,$HO$31:$HP$35,3,TRUE))))))</f>
        <v>7.81</v>
      </c>
      <c r="F29" s="98">
        <f>IF($K$18="",0,IF($M$9="FL",HLOOKUP($K$18,$BF$31:$BH$35,3,TRUE),IF($M$9="CO",HLOOKUP($K$18,$DI$31:$DK$35,3,TRUE),IF($M$9="IN",HLOOKUP($K$18,$DI$66:$DK$70,3,TRUE),IF($M$9="TX",HLOOKUP($K$18,$FN$31:$FP$35,3,TRUE),HLOOKUP($K$18,$HR$31:$HT$35,3,TRUE))))))</f>
        <v>6.63</v>
      </c>
      <c r="G29" s="98">
        <f>IF($K$19="",0,IF($M$9="FL",HLOOKUP($K$19,$BJ$31:$BK$35,3,TRUE),IF($M$9="CO",HLOOKUP($K$19,$DM$31:$DN$35,3,TRUE),IF($M$9="IN",HLOOKUP($K$19,$DM$31:$DN$35,3,TRUE),IF($M$9="TX",HLOOKUP($K$19,$FR$31:$FS$35,3,TRUE),HLOOKUP($K$19,$HV$31:$HW$35,3,TRUE))))))</f>
        <v>0</v>
      </c>
      <c r="H29" s="98">
        <f>IF($K$20="",0,IF($M$9="FL",HLOOKUP($K$20,$BM$31:$BP$35,3,TRUE),IF($M$9="CO",HLOOKUP($K$20,$DP$31:$DS$35,3,TRUE),IF($M$9="IN",HLOOKUP($K$20,$DP$31:$DS$35,3,TRUE),IF($M$9="TX",HLOOKUP($K$20,$FU$31:$FX$35,3,TRUE),HLOOKUP($K$20,$HY$31:$IB$35,3,TRUE))))))</f>
        <v>5.99</v>
      </c>
      <c r="J29" t="s">
        <v>53</v>
      </c>
      <c r="K29" s="24"/>
      <c r="L29" s="38">
        <f>IF(AND($K$16&lt;=($K$15),AND($K$16&lt;=2500),OR($K$17=15,$K$17=20,$K$17=""),OR($K$18=100,$K$18=200,$K$18=500,$K$18=""),OR($K$21="GENERIC",$K$21="GENERIC/BRAND",$K$21=""),OR($K$22=5000,$K$22=10000,$K$22=15000,$K$22=20000,$K$22=""),OR($K$46&lt;5000)),(C29+D29+E29+F29+G29+H29),"ERROR")</f>
        <v>102.99</v>
      </c>
      <c r="M29" s="38">
        <f>SUM(L29*K29)</f>
        <v>0</v>
      </c>
      <c r="N29" s="38"/>
      <c r="O29" s="76"/>
      <c r="P29" s="77"/>
      <c r="Q29" s="77">
        <f>IF($L$13&gt;0,(($BR$29*((100-$L$12)/100))+((BR30-$BR$29)*((100-$L$13)/100))),(($BR$29*((100-$L$12)/100))+((BR30-$BR$29))))</f>
        <v>51.495</v>
      </c>
      <c r="R29" s="58"/>
      <c r="U29" s="88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G29" s="89"/>
      <c r="AH29" s="89"/>
      <c r="AI29" s="89"/>
      <c r="AJ29" s="89"/>
      <c r="AK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92"/>
      <c r="BR29" s="186">
        <f>((L28*12)/$Q$26)</f>
        <v>28.875</v>
      </c>
      <c r="BS29" s="42"/>
      <c r="BT29" s="77"/>
      <c r="BU29" s="28"/>
      <c r="BV29" s="31"/>
      <c r="BX29" s="88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J29" s="89"/>
      <c r="CK29" s="89"/>
      <c r="CL29" s="89"/>
      <c r="CM29" s="89"/>
      <c r="CN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92" t="e">
        <f>#REF!</f>
        <v>#REF!</v>
      </c>
      <c r="DW29" s="42" t="e">
        <f>((#REF!*$BQ$27)/$BR$27)</f>
        <v>#REF!</v>
      </c>
      <c r="DX29" s="42" t="e">
        <f>((#REF!*$BQ$27)/$BS$27)</f>
        <v>#REF!</v>
      </c>
      <c r="DY29" s="77" t="e">
        <f>((#REF!*$BQ$27)/$BT$27)</f>
        <v>#REF!</v>
      </c>
      <c r="DZ29" s="28"/>
      <c r="EA29" s="31"/>
      <c r="EC29" s="88"/>
      <c r="ED29" s="89"/>
      <c r="EE29" s="89"/>
      <c r="EF29" s="89"/>
      <c r="EG29" s="89"/>
      <c r="EH29" s="89"/>
      <c r="EI29" s="89"/>
      <c r="EJ29" s="89"/>
      <c r="EK29" s="89"/>
      <c r="EL29" s="89"/>
      <c r="EM29" s="89"/>
      <c r="EO29" s="89"/>
      <c r="EP29" s="89"/>
      <c r="EQ29" s="89"/>
      <c r="ER29" s="89"/>
      <c r="ES29" s="89"/>
      <c r="EV29" s="89"/>
      <c r="EW29" s="89"/>
      <c r="EX29" s="89"/>
      <c r="EY29" s="89"/>
      <c r="EZ29" s="89"/>
      <c r="FA29" s="89"/>
      <c r="FB29" s="89"/>
      <c r="FC29" s="89"/>
      <c r="FD29" s="89"/>
      <c r="FE29" s="89"/>
      <c r="FF29" s="89"/>
      <c r="FG29" s="89"/>
      <c r="FH29" s="89"/>
      <c r="FI29" s="89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92">
        <f>DT28</f>
        <v>0</v>
      </c>
      <c r="GA29" s="42">
        <f>((DT28*$BQ$27)/$BR$27)</f>
        <v>0</v>
      </c>
      <c r="GB29" s="42" t="e">
        <f>((DT28*$BQ$27)/$BS$27)</f>
        <v>#DIV/0!</v>
      </c>
      <c r="GC29" s="77" t="e">
        <f>((DT28*$BQ$27)/$BT$27)</f>
        <v>#DIV/0!</v>
      </c>
      <c r="GD29" s="28"/>
      <c r="GE29" s="31"/>
      <c r="GG29" s="88"/>
      <c r="GH29" s="89"/>
      <c r="GI29" s="89"/>
      <c r="GJ29" s="89"/>
      <c r="GK29" s="89"/>
      <c r="GL29" s="89"/>
      <c r="GM29" s="89"/>
      <c r="GN29" s="89"/>
      <c r="GO29" s="89"/>
      <c r="GP29" s="89"/>
      <c r="GQ29" s="89"/>
      <c r="GS29" s="89"/>
      <c r="GT29" s="89"/>
      <c r="GU29" s="89"/>
      <c r="GV29" s="89"/>
      <c r="GW29" s="89"/>
      <c r="GZ29" s="89"/>
      <c r="HA29" s="89"/>
      <c r="HB29" s="89"/>
      <c r="HC29" s="89"/>
      <c r="HD29" s="89"/>
      <c r="HE29" s="89"/>
      <c r="HF29" s="89"/>
      <c r="HG29" s="89"/>
      <c r="HH29" s="89"/>
      <c r="HI29" s="89"/>
      <c r="HJ29" s="89"/>
      <c r="HK29" s="89"/>
      <c r="HL29" s="89"/>
      <c r="HM29" s="89"/>
      <c r="HN29" s="28"/>
      <c r="HO29" s="28"/>
      <c r="HP29" s="28"/>
      <c r="HQ29" s="28"/>
      <c r="HR29" s="28"/>
      <c r="HS29" s="28"/>
      <c r="HT29" s="28"/>
      <c r="HU29" s="28"/>
      <c r="HV29" s="28"/>
      <c r="HW29" s="28"/>
      <c r="HX29" s="28"/>
      <c r="HY29" s="28"/>
      <c r="HZ29" s="28"/>
      <c r="IA29" s="28"/>
      <c r="IB29" s="28"/>
      <c r="IC29" s="28"/>
      <c r="ID29" s="28"/>
      <c r="IE29" s="92">
        <f>FY28</f>
        <v>0</v>
      </c>
      <c r="IF29" s="42">
        <f>((FY28*$BQ$27)/$BR$27)</f>
        <v>0</v>
      </c>
      <c r="IG29" s="42" t="e">
        <f>((FY28*$BQ$27)/$BS$27)</f>
        <v>#DIV/0!</v>
      </c>
      <c r="IH29" s="77" t="e">
        <f>((FY28*$BQ$27)/$BT$27)</f>
        <v>#DIV/0!</v>
      </c>
      <c r="II29" s="28"/>
      <c r="IJ29" s="31"/>
    </row>
    <row r="30" spans="1:244" ht="12.75">
      <c r="A30" t="s">
        <v>12</v>
      </c>
      <c r="C30" s="98">
        <f>IF($M$9="FL",HLOOKUP($K$15,$X$31:$AM$35,4,TRUE),IF($M$9="CO",HLOOKUP($K$15,$CA$31:$CP$35,4,TRUE),IF($M$9="IN",HLOOKUP($K$15,$CA$31:$CP$35,4,TRUE),IF($M$9="TX",HLOOKUP($K$15,$EF$31:$EU$35,4,TRUE),HLOOKUP($K$15,$GJ$31:$GY$35,4,TRUE)))))</f>
        <v>60.27</v>
      </c>
      <c r="D30" s="98">
        <f>IF($K$16="",0,IF($M$9="FL",HLOOKUP($K$16,$AO$31:$BA$35,4,TRUE),IF($M$9="CO",HLOOKUP($K$16,$CR$31:$DD$35,4,TRUE),IF($M$9="IN",HLOOKUP($K$16,$CR$31:$DD$35,4,TRUE),IF($M$9="TX",HLOOKUP($K$16,$EW$31:$FI$35,4,TRUE),HLOOKUP($K$16,$HA$31:$HM$35,4,TRUE))))))</f>
        <v>41.55</v>
      </c>
      <c r="E30" s="98">
        <f>IF($K$17="",0,IF($M$9="FL",HLOOKUP($K$17,$BC$31:$BD$35,4,TRUE),IF($M$9="CO",HLOOKUP($K$17,$DF$31:$DG$35,4,TRUE),IF($M$9="IN",HLOOKUP($K$17,$DF$31:$DG$35,4,TRUE),IF($M$9="TX",HLOOKUP($K$17,$FK$31:$FL$35,4,TRUE),HLOOKUP($K$17,$HO$31:$HP$35,4,TRUE))))))</f>
        <v>9.18</v>
      </c>
      <c r="F30" s="98">
        <f>IF($K$18="",0,IF($M$9="FL",HLOOKUP($K$18,$BF$31:$BH$35,4,TRUE),IF($M$9="CO",HLOOKUP($K$18,$DI$31:$DK$35,4,TRUE),IF($M$9="IN",HLOOKUP($K$18,$DI$66:$DK$70,4,TRUE),IF($M$9="TX",HLOOKUP($K$18,$FN$31:$FP$35,4,TRUE),HLOOKUP($K$18,$HR$31:$HT$35,4,TRUE))))))</f>
        <v>16.18</v>
      </c>
      <c r="G30" s="98">
        <f>IF($K$19="",0,IF($M$9="FL",HLOOKUP($K$19,$BJ$31:$BK$35,4,TRUE),IF($M$9="CO",HLOOKUP($K$19,$DM$31:$DN$35,4,TRUE),IF($M$9="IN",HLOOKUP($K$19,$DM$31:$DN$35,4,TRUE),IF($M$9="TX",HLOOKUP($K$19,$FR$31:$FS$35,4,TRUE),HLOOKUP($K$19,$HV$31:$HW$35,4,TRUE))))))</f>
        <v>0</v>
      </c>
      <c r="H30" s="98">
        <f>IF($K$20="",0,IF($M$9="FL",HLOOKUP($K$20,$BM$31:$BP$35,4,TRUE),IF($M$9="CO",HLOOKUP($K$20,$DP$31:$DS$35,4,TRUE),IF($M$9="IN",HLOOKUP($K$20,$DP$31:$DS$35,4,TRUE),IF($M$9="TX",HLOOKUP($K$20,$FU$31:$FX$35,4,TRUE),HLOOKUP($K$20,$HY$31:$IB$35,4,TRUE))))))</f>
        <v>5.5</v>
      </c>
      <c r="J30" t="s">
        <v>55</v>
      </c>
      <c r="K30" s="24"/>
      <c r="L30" s="38">
        <f>IF(AND($K$16&lt;=($K$15),AND($K$16&lt;=2500),OR($K$17=15,$K$17=20,$K$17=""),OR($K$18=100,$K$18=200,$K$18=500,$K$18=""),OR($K$21="GENERIC",$K$21="GENERIC/BRAND",$K$21=""),OR($K$22=5000,$K$22=10000,$K$22=15000,$K$22=20000,$K$22=""),OR($K$46&lt;5000)),(C30+D30+E30+F30+G30+H30),"ERROR")</f>
        <v>132.68</v>
      </c>
      <c r="M30" s="38">
        <f>SUM(L30*K30)</f>
        <v>0</v>
      </c>
      <c r="N30" s="38"/>
      <c r="O30" s="76"/>
      <c r="P30" s="77"/>
      <c r="Q30" s="77">
        <f>IF($L$13&gt;0,(($BR$29*((100-$L$12)/100))+((BR31-$BR$29)*((100-$L$13)/100))),(($BR$29*((100-$L$12)/100))+((BR31-$BR$29))))</f>
        <v>66.34</v>
      </c>
      <c r="R30" s="58"/>
      <c r="U30" s="27"/>
      <c r="V30" s="28"/>
      <c r="W30" s="89"/>
      <c r="X30" s="3" t="s">
        <v>5</v>
      </c>
      <c r="Y30" s="3"/>
      <c r="Z30" s="3"/>
      <c r="AA30" s="3"/>
      <c r="AB30" s="3"/>
      <c r="AC30" s="3"/>
      <c r="AD30" s="3"/>
      <c r="AE30" s="3"/>
      <c r="AG30" s="3"/>
      <c r="AH30" s="3"/>
      <c r="AI30" s="3"/>
      <c r="AJ30" s="3"/>
      <c r="AK30" s="150"/>
      <c r="AN30" s="89"/>
      <c r="AO30" s="3" t="s">
        <v>5</v>
      </c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28"/>
      <c r="BC30" s="28"/>
      <c r="BD30" s="28"/>
      <c r="BE30" s="28"/>
      <c r="BF30" s="89"/>
      <c r="BG30" s="89"/>
      <c r="BH30" s="89"/>
      <c r="BI30" s="28"/>
      <c r="BJ30" s="28"/>
      <c r="BK30" s="28"/>
      <c r="BL30" s="28"/>
      <c r="BM30" s="28"/>
      <c r="BN30" s="28"/>
      <c r="BO30" s="28"/>
      <c r="BP30" s="28"/>
      <c r="BQ30" s="92"/>
      <c r="BR30" s="186">
        <f>((L29*12)/$Q$26)</f>
        <v>51.495</v>
      </c>
      <c r="BS30" s="42"/>
      <c r="BT30" s="77"/>
      <c r="BU30" s="28"/>
      <c r="BV30" s="31"/>
      <c r="BX30" s="27"/>
      <c r="BY30" s="28"/>
      <c r="BZ30" s="89"/>
      <c r="CA30" s="3" t="s">
        <v>5</v>
      </c>
      <c r="CB30" s="3"/>
      <c r="CC30" s="3"/>
      <c r="CD30" s="3"/>
      <c r="CE30" s="3"/>
      <c r="CF30" s="3"/>
      <c r="CG30" s="3"/>
      <c r="CH30" s="3"/>
      <c r="CJ30" s="3"/>
      <c r="CK30" s="3"/>
      <c r="CL30" s="3"/>
      <c r="CM30" s="3"/>
      <c r="CN30" s="150"/>
      <c r="CQ30" s="89"/>
      <c r="CR30" s="3" t="s">
        <v>5</v>
      </c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28"/>
      <c r="DF30" s="28"/>
      <c r="DG30" s="28"/>
      <c r="DH30" s="28"/>
      <c r="DI30" s="89"/>
      <c r="DJ30" s="89"/>
      <c r="DK30" s="89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92" t="e">
        <f>#REF!</f>
        <v>#REF!</v>
      </c>
      <c r="DW30" s="42" t="e">
        <f>((#REF!*$BQ$27)/$BR$27)</f>
        <v>#REF!</v>
      </c>
      <c r="DX30" s="42" t="e">
        <f>((#REF!*$BQ$27)/$BS$27)</f>
        <v>#REF!</v>
      </c>
      <c r="DY30" s="77" t="e">
        <f>((#REF!*$BQ$27)/$BT$27)</f>
        <v>#REF!</v>
      </c>
      <c r="DZ30" s="28"/>
      <c r="EA30" s="31"/>
      <c r="EC30" s="27"/>
      <c r="ED30" s="28"/>
      <c r="EE30" s="89"/>
      <c r="EF30" s="3" t="s">
        <v>5</v>
      </c>
      <c r="EG30" s="3"/>
      <c r="EH30" s="3"/>
      <c r="EI30" s="3"/>
      <c r="EJ30" s="3"/>
      <c r="EK30" s="3"/>
      <c r="EL30" s="3"/>
      <c r="EM30" s="3"/>
      <c r="EO30" s="3"/>
      <c r="EP30" s="3"/>
      <c r="EQ30" s="3"/>
      <c r="ER30" s="3"/>
      <c r="ES30" s="150"/>
      <c r="EV30" s="89"/>
      <c r="EW30" s="3" t="s">
        <v>5</v>
      </c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28"/>
      <c r="FK30" s="28"/>
      <c r="FL30" s="28"/>
      <c r="FM30" s="28"/>
      <c r="FN30" s="89"/>
      <c r="FO30" s="89"/>
      <c r="FP30" s="89"/>
      <c r="FQ30" s="28"/>
      <c r="FR30" s="28"/>
      <c r="FS30" s="28"/>
      <c r="FT30" s="28"/>
      <c r="FU30" s="28"/>
      <c r="FV30" s="28"/>
      <c r="FW30" s="28"/>
      <c r="FX30" s="28"/>
      <c r="FY30" s="28"/>
      <c r="FZ30" s="92">
        <f>DT29</f>
        <v>0</v>
      </c>
      <c r="GA30" s="42">
        <f>((DT29*$BQ$27)/$BR$27)</f>
        <v>0</v>
      </c>
      <c r="GB30" s="42" t="e">
        <f>((DT29*$BQ$27)/$BS$27)</f>
        <v>#DIV/0!</v>
      </c>
      <c r="GC30" s="77" t="e">
        <f>((DT29*$BQ$27)/$BT$27)</f>
        <v>#DIV/0!</v>
      </c>
      <c r="GD30" s="28"/>
      <c r="GE30" s="31"/>
      <c r="GG30" s="27"/>
      <c r="GH30" s="28"/>
      <c r="GI30" s="89"/>
      <c r="GJ30" s="3" t="s">
        <v>5</v>
      </c>
      <c r="GK30" s="3"/>
      <c r="GL30" s="3"/>
      <c r="GM30" s="3"/>
      <c r="GN30" s="3"/>
      <c r="GO30" s="3"/>
      <c r="GP30" s="3"/>
      <c r="GQ30" s="3"/>
      <c r="GS30" s="3"/>
      <c r="GT30" s="3"/>
      <c r="GU30" s="3"/>
      <c r="GV30" s="3"/>
      <c r="GW30" s="150"/>
      <c r="GZ30" s="89"/>
      <c r="HA30" s="3" t="s">
        <v>5</v>
      </c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28"/>
      <c r="HO30" s="28"/>
      <c r="HP30" s="28"/>
      <c r="HQ30" s="28"/>
      <c r="HR30" s="89"/>
      <c r="HS30" s="89"/>
      <c r="HT30" s="89"/>
      <c r="HU30" s="28"/>
      <c r="HV30" s="28"/>
      <c r="HW30" s="28"/>
      <c r="HX30" s="28"/>
      <c r="HY30" s="28"/>
      <c r="HZ30" s="28"/>
      <c r="IA30" s="28"/>
      <c r="IB30" s="28"/>
      <c r="IC30" s="28"/>
      <c r="ID30" s="28"/>
      <c r="IE30" s="92">
        <f>FY29</f>
        <v>0</v>
      </c>
      <c r="IF30" s="42">
        <f>((FY29*$BQ$27)/$BR$27)</f>
        <v>0</v>
      </c>
      <c r="IG30" s="42" t="e">
        <f>((FY29*$BQ$27)/$BS$27)</f>
        <v>#DIV/0!</v>
      </c>
      <c r="IH30" s="77" t="e">
        <f>((FY29*$BQ$27)/$BT$27)</f>
        <v>#DIV/0!</v>
      </c>
      <c r="II30" s="28"/>
      <c r="IJ30" s="31"/>
    </row>
    <row r="31" spans="1:244" ht="12.75">
      <c r="A31" t="s">
        <v>13</v>
      </c>
      <c r="C31" s="98">
        <f>IF($M$9="FL",HLOOKUP($K$15,$X$31:$AM$35,5,TRUE),IF($M$9="CO",HLOOKUP($K$15,$CA$31:$CP$35,5,TRUE),IF($M$9="IN",HLOOKUP($K$15,$CA$31:$CP$35,5,TRUE),IF($M$9="TX",HLOOKUP($K$15,$EF$31:$EU$35,5,TRUE),HLOOKUP($K$15,$GJ$31:$GY$35,5,TRUE)))))</f>
        <v>81.6</v>
      </c>
      <c r="D31" s="98">
        <f>IF($K$16="",0,IF($M$9="FL",HLOOKUP($K$16,$AO$31:$BA$35,5,TRUE),IF($M$9="CO",HLOOKUP($K$16,$CR$31:$DD$35,5,TRUE),IF($M$9="IN",HLOOKUP($K$16,$CR$31:$DD$35,5,TRUE),IF($M$9="TX",HLOOKUP($K$16,$EW$31:$FI$35,5,TRUE),HLOOKUP($K$16,$HA$31:$HM$35,5,TRUE))))))</f>
        <v>56.86</v>
      </c>
      <c r="E31" s="98">
        <f>IF($K$17="",0,IF($M$9="FL",HLOOKUP($K$17,$BC$31:$BD$35,5,TRUE),IF($M$9="CO",HLOOKUP($K$17,$DF$31:$DG$35,5,TRUE),IF($M$9="IN",HLOOKUP($K$17,$DF$31:$DG$35,5,TRUE),IF($M$9="TX",HLOOKUP($K$17,$FK$31:$FL$35,5,TRUE),HLOOKUP($K$17,$HO$31:$HP$35,5,TRUE))))))</f>
        <v>11.28</v>
      </c>
      <c r="F31" s="98">
        <f>IF($K$18="",0,IF($M$9="FL",HLOOKUP($K$18,$BF$31:$BH$35,5,TRUE),IF($M$9="CO",HLOOKUP($K$18,$DI$31:$DK$35,5,TRUE),IF($M$9="IN",HLOOKUP($K$18,$DI$66:$DK$70,5,TRUE),IF($M$9="TX",HLOOKUP($K$18,$FN$31:$FP$35,5,TRUE),HLOOKUP($K$18,$HR$31:$HT$35,5,TRUE))))))</f>
        <v>18.66</v>
      </c>
      <c r="G31" s="98">
        <f>IF($K$19="",0,IF($M$9="FL",HLOOKUP($K$19,$BJ$31:$BK$35,5,TRUE),IF($M$9="CO",HLOOKUP($K$19,$DM$31:$DN$35,5,TRUE),IF($M$9="IN",HLOOKUP($K$19,$DM$31:$DN$35,5,TRUE),IF($M$9="TX",HLOOKUP($K$19,$FR$31:$FS$35,5,TRUE),HLOOKUP($K$19,$HV$31:$HW$35,5,TRUE))))))</f>
        <v>0</v>
      </c>
      <c r="H31" s="98">
        <f>IF($K$20="",0,IF($M$9="FL",HLOOKUP($K$20,$BM$31:$BP$35,5,TRUE),IF($M$9="CO",HLOOKUP($K$20,$DP$31:$DS$35,5,TRUE),IF($M$9="IN",HLOOKUP($K$20,$DP$31:$DS$35,5,TRUE),IF($M$9="TX",HLOOKUP($K$20,$FU$31:$FX$35,5,TRUE),HLOOKUP($K$20,$HY$31:$IB$35,5,TRUE))))))</f>
        <v>7.92</v>
      </c>
      <c r="J31" t="s">
        <v>54</v>
      </c>
      <c r="K31" s="24"/>
      <c r="L31" s="38">
        <f>IF(AND($K$16&lt;=($K$15),AND($K$16&lt;=2500),OR($K$17=15,$K$17=20,$K$17=""),OR($K$18=100,$K$18=200,$K$18=500,$K$18=""),OR($K$21="GENERIC",$K$21="GENERIC/BRAND",$K$21=""),OR($K$22=5000,$K$22=10000,$K$22=15000,$K$22=20000,$K$22=""),OR($K$46&lt;5000)),(C31+D31+E31+F31+G31+H31),"ERROR")</f>
        <v>176.31999999999996</v>
      </c>
      <c r="M31" s="38">
        <f>SUM(L31*K31)</f>
        <v>0</v>
      </c>
      <c r="N31" s="38"/>
      <c r="O31" s="76"/>
      <c r="P31" s="77"/>
      <c r="Q31" s="77">
        <f>IF($L$13&gt;0,(($BR$29*((100-$L$12)/100))+((BR32-$BR$29)*((100-$L$13)/100))),(($BR$29*((100-$L$12)/100))+((BR32-$BR$29))))</f>
        <v>88.15999999999998</v>
      </c>
      <c r="R31" s="58"/>
      <c r="U31" s="27"/>
      <c r="V31" s="28"/>
      <c r="W31" s="89"/>
      <c r="X31" s="4">
        <v>500</v>
      </c>
      <c r="Y31" s="4">
        <v>1000</v>
      </c>
      <c r="Z31" s="4">
        <v>1500</v>
      </c>
      <c r="AA31" s="4">
        <v>2000</v>
      </c>
      <c r="AB31" s="4">
        <v>2500</v>
      </c>
      <c r="AC31" s="4">
        <v>3000</v>
      </c>
      <c r="AD31" s="4">
        <v>3500</v>
      </c>
      <c r="AE31" s="4">
        <v>4000</v>
      </c>
      <c r="AF31" s="112">
        <v>4500</v>
      </c>
      <c r="AG31" s="4">
        <v>5000</v>
      </c>
      <c r="AH31" s="4">
        <v>6000</v>
      </c>
      <c r="AI31" s="4">
        <v>6500</v>
      </c>
      <c r="AJ31" s="4">
        <v>7000</v>
      </c>
      <c r="AK31" s="151">
        <v>7500</v>
      </c>
      <c r="AL31" s="112">
        <v>8000</v>
      </c>
      <c r="AM31" s="112">
        <v>10000</v>
      </c>
      <c r="AN31" s="89"/>
      <c r="AO31" s="4">
        <v>200</v>
      </c>
      <c r="AP31" s="4">
        <v>250</v>
      </c>
      <c r="AQ31" s="4">
        <v>500</v>
      </c>
      <c r="AR31" s="4">
        <v>750</v>
      </c>
      <c r="AS31" s="4">
        <v>1000</v>
      </c>
      <c r="AT31" s="4">
        <v>1250</v>
      </c>
      <c r="AU31" s="4">
        <v>1500</v>
      </c>
      <c r="AV31" s="4">
        <v>1750</v>
      </c>
      <c r="AW31" s="4">
        <v>2000</v>
      </c>
      <c r="AX31" s="4">
        <v>2250</v>
      </c>
      <c r="AY31" s="4">
        <v>2500</v>
      </c>
      <c r="AZ31" s="4"/>
      <c r="BA31" s="4"/>
      <c r="BB31" s="28"/>
      <c r="BC31" s="20">
        <v>15</v>
      </c>
      <c r="BD31" s="20">
        <v>20</v>
      </c>
      <c r="BE31" s="28"/>
      <c r="BF31" s="20">
        <v>100</v>
      </c>
      <c r="BG31" s="20">
        <v>200</v>
      </c>
      <c r="BH31" s="20">
        <v>500</v>
      </c>
      <c r="BI31" s="28"/>
      <c r="BJ31" s="93" t="s">
        <v>39</v>
      </c>
      <c r="BK31" s="93" t="s">
        <v>42</v>
      </c>
      <c r="BL31" s="28"/>
      <c r="BM31" s="94">
        <v>5000</v>
      </c>
      <c r="BN31" s="94">
        <v>10000</v>
      </c>
      <c r="BO31" s="94">
        <v>15000</v>
      </c>
      <c r="BP31" s="94">
        <v>20000</v>
      </c>
      <c r="BQ31" s="92"/>
      <c r="BR31" s="186">
        <f>((L30*12)/$Q$26)</f>
        <v>66.34</v>
      </c>
      <c r="BS31" s="42"/>
      <c r="BT31" s="77"/>
      <c r="BU31" s="28"/>
      <c r="BV31" s="31"/>
      <c r="BX31" s="27"/>
      <c r="BY31" s="28"/>
      <c r="BZ31" s="89"/>
      <c r="CA31" s="4">
        <v>500</v>
      </c>
      <c r="CB31" s="4">
        <v>1000</v>
      </c>
      <c r="CC31" s="4">
        <v>1500</v>
      </c>
      <c r="CD31" s="4">
        <v>2000</v>
      </c>
      <c r="CE31" s="4">
        <v>2500</v>
      </c>
      <c r="CF31" s="4">
        <v>3000</v>
      </c>
      <c r="CG31" s="4">
        <v>3500</v>
      </c>
      <c r="CH31" s="4">
        <v>4000</v>
      </c>
      <c r="CI31" s="112">
        <v>4500</v>
      </c>
      <c r="CJ31" s="4">
        <v>5000</v>
      </c>
      <c r="CK31" s="4">
        <v>6000</v>
      </c>
      <c r="CL31" s="4">
        <v>6500</v>
      </c>
      <c r="CM31" s="4">
        <v>7000</v>
      </c>
      <c r="CN31" s="151">
        <v>7500</v>
      </c>
      <c r="CO31" s="112">
        <v>8000</v>
      </c>
      <c r="CP31" s="112">
        <v>10000</v>
      </c>
      <c r="CQ31" s="89"/>
      <c r="CR31" s="4">
        <v>200</v>
      </c>
      <c r="CS31" s="4">
        <v>250</v>
      </c>
      <c r="CT31" s="4">
        <v>500</v>
      </c>
      <c r="CU31" s="4">
        <v>750</v>
      </c>
      <c r="CV31" s="4">
        <v>1000</v>
      </c>
      <c r="CW31" s="4">
        <v>1250</v>
      </c>
      <c r="CX31" s="4">
        <v>1500</v>
      </c>
      <c r="CY31" s="4">
        <v>1750</v>
      </c>
      <c r="CZ31" s="4">
        <v>2000</v>
      </c>
      <c r="DA31" s="4">
        <v>2250</v>
      </c>
      <c r="DB31" s="4">
        <v>2500</v>
      </c>
      <c r="DC31" s="4"/>
      <c r="DD31" s="4"/>
      <c r="DE31" s="28"/>
      <c r="DF31" s="20">
        <v>15</v>
      </c>
      <c r="DG31" s="20">
        <v>20</v>
      </c>
      <c r="DH31" s="28"/>
      <c r="DI31" s="20">
        <v>100</v>
      </c>
      <c r="DJ31" s="20">
        <v>200</v>
      </c>
      <c r="DK31" s="20">
        <v>500</v>
      </c>
      <c r="DL31" s="28"/>
      <c r="DM31" s="93" t="s">
        <v>39</v>
      </c>
      <c r="DN31" s="93" t="s">
        <v>42</v>
      </c>
      <c r="DO31" s="28"/>
      <c r="DP31" s="94">
        <v>5000</v>
      </c>
      <c r="DQ31" s="94">
        <v>10000</v>
      </c>
      <c r="DR31" s="94">
        <v>15000</v>
      </c>
      <c r="DS31" s="94">
        <v>20000</v>
      </c>
      <c r="DT31" s="28"/>
      <c r="DU31" s="93"/>
      <c r="DV31" s="92" t="e">
        <f>#REF!</f>
        <v>#REF!</v>
      </c>
      <c r="DW31" s="42" t="e">
        <f>((#REF!*$BQ$27)/$BR$27)</f>
        <v>#REF!</v>
      </c>
      <c r="DX31" s="42" t="e">
        <f>((#REF!*$BQ$27)/$BS$27)</f>
        <v>#REF!</v>
      </c>
      <c r="DY31" s="77" t="e">
        <f>((#REF!*$BQ$27)/$BT$27)</f>
        <v>#REF!</v>
      </c>
      <c r="DZ31" s="28"/>
      <c r="EA31" s="31"/>
      <c r="EC31" s="27"/>
      <c r="ED31" s="28"/>
      <c r="EE31" s="89"/>
      <c r="EF31" s="4">
        <v>500</v>
      </c>
      <c r="EG31" s="4">
        <v>1000</v>
      </c>
      <c r="EH31" s="4">
        <v>1500</v>
      </c>
      <c r="EI31" s="4">
        <v>2000</v>
      </c>
      <c r="EJ31" s="4">
        <v>2500</v>
      </c>
      <c r="EK31" s="4">
        <v>3000</v>
      </c>
      <c r="EL31" s="4">
        <v>3500</v>
      </c>
      <c r="EM31" s="4">
        <v>4000</v>
      </c>
      <c r="EN31" s="112">
        <v>4500</v>
      </c>
      <c r="EO31" s="4">
        <v>5000</v>
      </c>
      <c r="EP31" s="4">
        <v>6000</v>
      </c>
      <c r="EQ31" s="4">
        <v>6500</v>
      </c>
      <c r="ER31" s="4">
        <v>7000</v>
      </c>
      <c r="ES31" s="151">
        <v>7500</v>
      </c>
      <c r="ET31" s="112">
        <v>8000</v>
      </c>
      <c r="EU31" s="112">
        <v>10000</v>
      </c>
      <c r="EV31" s="89"/>
      <c r="EW31" s="4">
        <v>200</v>
      </c>
      <c r="EX31" s="4">
        <v>250</v>
      </c>
      <c r="EY31" s="4">
        <v>500</v>
      </c>
      <c r="EZ31" s="4">
        <v>750</v>
      </c>
      <c r="FA31" s="4">
        <v>1000</v>
      </c>
      <c r="FB31" s="4">
        <v>1250</v>
      </c>
      <c r="FC31" s="4">
        <v>1500</v>
      </c>
      <c r="FD31" s="4">
        <v>1750</v>
      </c>
      <c r="FE31" s="4">
        <v>2000</v>
      </c>
      <c r="FF31" s="4">
        <v>2250</v>
      </c>
      <c r="FG31" s="4">
        <v>2500</v>
      </c>
      <c r="FH31" s="4"/>
      <c r="FI31" s="4"/>
      <c r="FJ31" s="28"/>
      <c r="FK31" s="20">
        <v>15</v>
      </c>
      <c r="FL31" s="20">
        <v>20</v>
      </c>
      <c r="FM31" s="28"/>
      <c r="FN31" s="20">
        <v>100</v>
      </c>
      <c r="FO31" s="20">
        <v>200</v>
      </c>
      <c r="FP31" s="20">
        <v>500</v>
      </c>
      <c r="FQ31" s="28"/>
      <c r="FR31" s="93" t="s">
        <v>39</v>
      </c>
      <c r="FS31" s="93" t="s">
        <v>42</v>
      </c>
      <c r="FT31" s="28"/>
      <c r="FU31" s="94">
        <v>5000</v>
      </c>
      <c r="FV31" s="94">
        <v>10000</v>
      </c>
      <c r="FW31" s="94">
        <v>15000</v>
      </c>
      <c r="FX31" s="94">
        <v>20000</v>
      </c>
      <c r="FY31" s="28"/>
      <c r="FZ31" s="92">
        <f>DT30</f>
        <v>0</v>
      </c>
      <c r="GA31" s="42">
        <f>((DT30*$BQ$27)/$BR$27)</f>
        <v>0</v>
      </c>
      <c r="GB31" s="42" t="e">
        <f>((DT30*$BQ$27)/$BS$27)</f>
        <v>#DIV/0!</v>
      </c>
      <c r="GC31" s="77" t="e">
        <f>((DT30*$BQ$27)/$BT$27)</f>
        <v>#DIV/0!</v>
      </c>
      <c r="GD31" s="28"/>
      <c r="GE31" s="31"/>
      <c r="GG31" s="27"/>
      <c r="GH31" s="28"/>
      <c r="GI31" s="89"/>
      <c r="GJ31" s="4">
        <v>500</v>
      </c>
      <c r="GK31" s="4">
        <v>1000</v>
      </c>
      <c r="GL31" s="4">
        <v>1500</v>
      </c>
      <c r="GM31" s="4">
        <v>2000</v>
      </c>
      <c r="GN31" s="4">
        <v>2500</v>
      </c>
      <c r="GO31" s="4">
        <v>3000</v>
      </c>
      <c r="GP31" s="4">
        <v>3500</v>
      </c>
      <c r="GQ31" s="4">
        <v>4000</v>
      </c>
      <c r="GR31" s="112">
        <v>4500</v>
      </c>
      <c r="GS31" s="4">
        <v>5000</v>
      </c>
      <c r="GT31" s="4">
        <v>6000</v>
      </c>
      <c r="GU31" s="4">
        <v>6500</v>
      </c>
      <c r="GV31" s="4">
        <v>7000</v>
      </c>
      <c r="GW31" s="112">
        <v>7500</v>
      </c>
      <c r="GX31" s="112">
        <v>8000</v>
      </c>
      <c r="GY31" s="112">
        <v>10000</v>
      </c>
      <c r="GZ31" s="89"/>
      <c r="HA31" s="4">
        <v>200</v>
      </c>
      <c r="HB31" s="4">
        <v>250</v>
      </c>
      <c r="HC31" s="4">
        <v>500</v>
      </c>
      <c r="HD31" s="4">
        <v>750</v>
      </c>
      <c r="HE31" s="4">
        <v>1000</v>
      </c>
      <c r="HF31" s="4">
        <v>1250</v>
      </c>
      <c r="HG31" s="4">
        <v>1500</v>
      </c>
      <c r="HH31" s="4">
        <v>1750</v>
      </c>
      <c r="HI31" s="4">
        <v>2000</v>
      </c>
      <c r="HJ31" s="4">
        <v>2250</v>
      </c>
      <c r="HK31" s="4">
        <v>2500</v>
      </c>
      <c r="HL31" s="4"/>
      <c r="HM31" s="4"/>
      <c r="HN31" s="28"/>
      <c r="HO31" s="20">
        <v>15</v>
      </c>
      <c r="HP31" s="20">
        <v>20</v>
      </c>
      <c r="HQ31" s="28"/>
      <c r="HR31" s="20">
        <v>100</v>
      </c>
      <c r="HS31" s="20">
        <v>200</v>
      </c>
      <c r="HT31" s="20">
        <v>500</v>
      </c>
      <c r="HU31" s="28"/>
      <c r="HV31" s="93" t="s">
        <v>39</v>
      </c>
      <c r="HW31" s="93" t="s">
        <v>42</v>
      </c>
      <c r="HX31" s="28"/>
      <c r="HY31" s="94">
        <v>5000</v>
      </c>
      <c r="HZ31" s="94">
        <v>10000</v>
      </c>
      <c r="IA31" s="94">
        <v>15000</v>
      </c>
      <c r="IB31" s="94">
        <v>20000</v>
      </c>
      <c r="IC31" s="28"/>
      <c r="ID31" s="93"/>
      <c r="IE31" s="92">
        <f>FY30</f>
        <v>0</v>
      </c>
      <c r="IF31" s="42">
        <f>((FY30*$BQ$27)/$BR$27)</f>
        <v>0</v>
      </c>
      <c r="IG31" s="42" t="e">
        <f>((FY30*$BQ$27)/$BS$27)</f>
        <v>#DIV/0!</v>
      </c>
      <c r="IH31" s="77" t="e">
        <f>((FY30*$BQ$27)/$BT$27)</f>
        <v>#DIV/0!</v>
      </c>
      <c r="II31" s="28"/>
      <c r="IJ31" s="31"/>
    </row>
    <row r="32" spans="12:244" ht="7.5" customHeight="1">
      <c r="L32" s="38"/>
      <c r="M32" s="38"/>
      <c r="N32" s="38"/>
      <c r="O32" s="75"/>
      <c r="P32" s="68"/>
      <c r="Q32" s="68"/>
      <c r="R32" s="58"/>
      <c r="U32" s="5" t="s">
        <v>0</v>
      </c>
      <c r="V32" s="6"/>
      <c r="W32" s="89"/>
      <c r="X32" s="7">
        <v>3.02</v>
      </c>
      <c r="Y32" s="7">
        <v>5.91</v>
      </c>
      <c r="Z32" s="7">
        <v>8.62</v>
      </c>
      <c r="AA32" s="7">
        <v>11.2</v>
      </c>
      <c r="AB32" s="7">
        <v>13.6</v>
      </c>
      <c r="AC32" s="7">
        <v>15.94</v>
      </c>
      <c r="AD32" s="7">
        <v>18.22</v>
      </c>
      <c r="AE32" s="7">
        <v>20.37</v>
      </c>
      <c r="AF32" s="113">
        <v>22.49</v>
      </c>
      <c r="AG32" s="7">
        <v>24.62</v>
      </c>
      <c r="AH32" s="7">
        <v>28.62</v>
      </c>
      <c r="AI32" s="7">
        <v>30.52</v>
      </c>
      <c r="AJ32" s="7">
        <v>32.43</v>
      </c>
      <c r="AK32" s="152">
        <v>34.28</v>
      </c>
      <c r="AL32" s="113">
        <v>36.12</v>
      </c>
      <c r="AM32" s="113">
        <v>43.2</v>
      </c>
      <c r="AN32" s="89"/>
      <c r="AO32" s="12">
        <v>3.95</v>
      </c>
      <c r="AP32" s="12">
        <v>4.7</v>
      </c>
      <c r="AQ32" s="12">
        <v>8.46</v>
      </c>
      <c r="AR32" s="7">
        <v>10.15</v>
      </c>
      <c r="AS32" s="7">
        <v>11.18</v>
      </c>
      <c r="AT32" s="7">
        <v>12.64</v>
      </c>
      <c r="AU32" s="7">
        <v>14.09</v>
      </c>
      <c r="AV32" s="7">
        <v>15.1</v>
      </c>
      <c r="AW32" s="7">
        <v>16.1</v>
      </c>
      <c r="AX32" s="7">
        <v>16.91</v>
      </c>
      <c r="AY32" s="7">
        <v>17.72</v>
      </c>
      <c r="AZ32" s="7"/>
      <c r="BA32" s="7"/>
      <c r="BB32" s="28"/>
      <c r="BC32" s="7">
        <v>3.95</v>
      </c>
      <c r="BD32" s="7">
        <v>6.07</v>
      </c>
      <c r="BE32" s="28"/>
      <c r="BF32" s="7">
        <v>1.6</v>
      </c>
      <c r="BG32" s="7">
        <v>3.09</v>
      </c>
      <c r="BH32" s="7">
        <v>6.92</v>
      </c>
      <c r="BI32" s="28"/>
      <c r="BJ32" s="46">
        <v>9.04</v>
      </c>
      <c r="BK32" s="46">
        <v>17.38</v>
      </c>
      <c r="BL32" s="28"/>
      <c r="BM32" s="95">
        <v>1.31</v>
      </c>
      <c r="BN32" s="95">
        <v>2.62</v>
      </c>
      <c r="BO32" s="95">
        <v>3.93</v>
      </c>
      <c r="BP32" s="95">
        <v>5.25</v>
      </c>
      <c r="BQ32" s="92"/>
      <c r="BR32" s="186">
        <f>((L31*12)/$Q$26)</f>
        <v>88.15999999999998</v>
      </c>
      <c r="BS32" s="42"/>
      <c r="BT32" s="77"/>
      <c r="BU32" s="28"/>
      <c r="BV32" s="31"/>
      <c r="BX32" s="5" t="s">
        <v>0</v>
      </c>
      <c r="BY32" s="6"/>
      <c r="BZ32" s="89"/>
      <c r="CA32" s="7">
        <v>3.27</v>
      </c>
      <c r="CB32" s="7">
        <v>6.4</v>
      </c>
      <c r="CC32" s="7">
        <v>9.33</v>
      </c>
      <c r="CD32" s="7">
        <v>12.13</v>
      </c>
      <c r="CE32" s="7">
        <v>14.73</v>
      </c>
      <c r="CF32" s="7">
        <v>17.27</v>
      </c>
      <c r="CG32" s="7">
        <v>19.73</v>
      </c>
      <c r="CH32" s="7">
        <v>22.07</v>
      </c>
      <c r="CI32" s="113">
        <v>24.37</v>
      </c>
      <c r="CJ32" s="7">
        <v>26.67</v>
      </c>
      <c r="CK32" s="7">
        <v>31</v>
      </c>
      <c r="CL32" s="7">
        <v>33.07</v>
      </c>
      <c r="CM32" s="7">
        <v>35.13</v>
      </c>
      <c r="CN32" s="152">
        <v>37.13</v>
      </c>
      <c r="CO32" s="113">
        <v>39.13</v>
      </c>
      <c r="CP32" s="113">
        <v>46.8</v>
      </c>
      <c r="CQ32" s="89"/>
      <c r="CR32" s="12">
        <v>4.28</v>
      </c>
      <c r="CS32" s="12">
        <v>5.1</v>
      </c>
      <c r="CT32" s="7">
        <v>9.17</v>
      </c>
      <c r="CU32" s="7">
        <v>11</v>
      </c>
      <c r="CV32" s="7">
        <v>12.11</v>
      </c>
      <c r="CW32" s="7">
        <v>13.69</v>
      </c>
      <c r="CX32" s="7">
        <v>15.26</v>
      </c>
      <c r="CY32" s="7">
        <v>16.36</v>
      </c>
      <c r="CZ32" s="7">
        <v>17.45</v>
      </c>
      <c r="DA32" s="7">
        <v>18.32</v>
      </c>
      <c r="DB32" s="7">
        <v>19.19</v>
      </c>
      <c r="DC32" s="7"/>
      <c r="DD32" s="7"/>
      <c r="DE32" s="28"/>
      <c r="DF32" s="7">
        <v>4.28</v>
      </c>
      <c r="DG32" s="7">
        <v>6.57</v>
      </c>
      <c r="DH32" s="28"/>
      <c r="DI32" s="7">
        <v>1.74</v>
      </c>
      <c r="DJ32" s="7">
        <v>3.35</v>
      </c>
      <c r="DK32" s="7">
        <v>7.5</v>
      </c>
      <c r="DL32" s="28"/>
      <c r="DM32" s="46">
        <v>9.79</v>
      </c>
      <c r="DN32" s="46">
        <v>18.83</v>
      </c>
      <c r="DO32" s="28"/>
      <c r="DP32" s="95">
        <v>1.42</v>
      </c>
      <c r="DQ32" s="95">
        <v>2.84</v>
      </c>
      <c r="DR32" s="95">
        <v>4.26</v>
      </c>
      <c r="DS32" s="95">
        <v>5.68</v>
      </c>
      <c r="DT32" s="28"/>
      <c r="DU32" s="89"/>
      <c r="DV32" s="92" t="e">
        <f>#REF!</f>
        <v>#REF!</v>
      </c>
      <c r="DW32" s="42" t="e">
        <f>((#REF!*$BQ$27)/$BR$27)</f>
        <v>#REF!</v>
      </c>
      <c r="DX32" s="42" t="e">
        <f>((#REF!*$BQ$27)/$BS$27)</f>
        <v>#REF!</v>
      </c>
      <c r="DY32" s="77" t="e">
        <f>((#REF!*$BQ$27)/$BT$27)</f>
        <v>#REF!</v>
      </c>
      <c r="DZ32" s="28"/>
      <c r="EA32" s="31"/>
      <c r="EC32" s="5" t="s">
        <v>0</v>
      </c>
      <c r="ED32" s="6"/>
      <c r="EE32" s="89"/>
      <c r="EF32" s="7">
        <v>4.9</v>
      </c>
      <c r="EG32" s="7">
        <v>8.74</v>
      </c>
      <c r="EH32" s="7">
        <v>10.65</v>
      </c>
      <c r="EI32" s="7">
        <v>12.53</v>
      </c>
      <c r="EJ32" s="7">
        <v>16.5</v>
      </c>
      <c r="EK32" s="7">
        <v>20.37</v>
      </c>
      <c r="EL32" s="7">
        <v>23.13</v>
      </c>
      <c r="EM32" s="7">
        <v>25.74</v>
      </c>
      <c r="EN32" s="113">
        <v>28.04</v>
      </c>
      <c r="EO32" s="7">
        <v>30.34</v>
      </c>
      <c r="EP32" s="7">
        <v>35.11</v>
      </c>
      <c r="EQ32" s="7">
        <v>37.16</v>
      </c>
      <c r="ER32" s="7">
        <v>39.2</v>
      </c>
      <c r="ES32" s="113">
        <v>41.12</v>
      </c>
      <c r="ET32" s="113">
        <v>43.04</v>
      </c>
      <c r="EU32" s="113">
        <v>49.5</v>
      </c>
      <c r="EV32" s="89"/>
      <c r="EW32" s="12">
        <v>4.9</v>
      </c>
      <c r="EX32" s="12">
        <v>5.84</v>
      </c>
      <c r="EY32" s="12">
        <v>10.5</v>
      </c>
      <c r="EZ32" s="7">
        <v>12.6</v>
      </c>
      <c r="FA32" s="7">
        <v>13.88</v>
      </c>
      <c r="FB32" s="12">
        <v>16.03</v>
      </c>
      <c r="FC32" s="7">
        <v>17.48</v>
      </c>
      <c r="FD32" s="12">
        <v>18.73</v>
      </c>
      <c r="FE32" s="7">
        <v>19.98</v>
      </c>
      <c r="FF32" s="12">
        <v>20.99</v>
      </c>
      <c r="FG32" s="7">
        <v>21.98</v>
      </c>
      <c r="FH32" s="7"/>
      <c r="FI32" s="7"/>
      <c r="FJ32" s="28"/>
      <c r="FK32" s="7">
        <v>4.9</v>
      </c>
      <c r="FL32" s="7">
        <v>7.53</v>
      </c>
      <c r="FM32" s="28"/>
      <c r="FN32" s="7">
        <v>1.99</v>
      </c>
      <c r="FO32" s="7">
        <v>3.83</v>
      </c>
      <c r="FP32" s="7">
        <v>8.59</v>
      </c>
      <c r="FQ32" s="28"/>
      <c r="FR32" s="46">
        <v>10.68</v>
      </c>
      <c r="FS32" s="46">
        <v>20.54</v>
      </c>
      <c r="FT32" s="28"/>
      <c r="FU32" s="95">
        <v>1.55</v>
      </c>
      <c r="FV32" s="95">
        <v>3.1</v>
      </c>
      <c r="FW32" s="95">
        <v>4.65</v>
      </c>
      <c r="FX32" s="95">
        <v>6.2</v>
      </c>
      <c r="FY32" s="28"/>
      <c r="FZ32" s="92">
        <f>DT31</f>
        <v>0</v>
      </c>
      <c r="GA32" s="42">
        <f>((DT31*$BQ$27)/$BR$27)</f>
        <v>0</v>
      </c>
      <c r="GB32" s="42" t="e">
        <f>((DT31*$BQ$27)/$BS$27)</f>
        <v>#DIV/0!</v>
      </c>
      <c r="GC32" s="77" t="e">
        <f>((DT31*$BQ$27)/$BT$27)</f>
        <v>#DIV/0!</v>
      </c>
      <c r="GD32" s="28"/>
      <c r="GE32" s="31"/>
      <c r="GG32" s="5" t="s">
        <v>0</v>
      </c>
      <c r="GH32" s="6"/>
      <c r="GI32" s="89"/>
      <c r="GJ32" s="7">
        <v>3.74</v>
      </c>
      <c r="GK32" s="7">
        <v>7.33</v>
      </c>
      <c r="GL32" s="7">
        <v>10.69</v>
      </c>
      <c r="GM32" s="7">
        <v>13.9</v>
      </c>
      <c r="GN32" s="7">
        <v>16.88</v>
      </c>
      <c r="GO32" s="7">
        <v>19.78</v>
      </c>
      <c r="GP32" s="7">
        <v>22.6</v>
      </c>
      <c r="GQ32" s="7">
        <v>25.28</v>
      </c>
      <c r="GR32" s="113">
        <v>27.91</v>
      </c>
      <c r="GS32" s="7">
        <v>30.55</v>
      </c>
      <c r="GT32" s="7">
        <v>35.51</v>
      </c>
      <c r="GU32" s="7">
        <v>37.88</v>
      </c>
      <c r="GV32" s="7">
        <v>40.24</v>
      </c>
      <c r="GW32" s="113">
        <v>42.53</v>
      </c>
      <c r="GX32" s="113">
        <v>44.83</v>
      </c>
      <c r="GY32" s="113">
        <v>53.61</v>
      </c>
      <c r="GZ32" s="89"/>
      <c r="HA32" s="12">
        <v>4.9</v>
      </c>
      <c r="HB32" s="12">
        <v>5.84</v>
      </c>
      <c r="HC32" s="12">
        <v>10.5</v>
      </c>
      <c r="HD32" s="7">
        <v>12.6</v>
      </c>
      <c r="HE32" s="7">
        <v>13.88</v>
      </c>
      <c r="HF32" s="12">
        <v>16.03</v>
      </c>
      <c r="HG32" s="7">
        <v>17.48</v>
      </c>
      <c r="HH32" s="12">
        <v>18.73</v>
      </c>
      <c r="HI32" s="7">
        <v>19.98</v>
      </c>
      <c r="HJ32" s="12">
        <v>20.99</v>
      </c>
      <c r="HK32" s="7">
        <v>21.98</v>
      </c>
      <c r="HL32" s="7"/>
      <c r="HM32" s="7"/>
      <c r="HN32" s="28"/>
      <c r="HO32" s="7">
        <v>4.9</v>
      </c>
      <c r="HP32" s="7">
        <v>7.53</v>
      </c>
      <c r="HQ32" s="28"/>
      <c r="HR32" s="7">
        <v>1.99</v>
      </c>
      <c r="HS32" s="7">
        <v>3.83</v>
      </c>
      <c r="HT32" s="7">
        <v>8.59</v>
      </c>
      <c r="HU32" s="28"/>
      <c r="HV32" s="46">
        <v>10.68</v>
      </c>
      <c r="HW32" s="46">
        <v>20.54</v>
      </c>
      <c r="HX32" s="28"/>
      <c r="HY32" s="95">
        <v>1.55</v>
      </c>
      <c r="HZ32" s="95">
        <v>3.1</v>
      </c>
      <c r="IA32" s="95">
        <v>4.65</v>
      </c>
      <c r="IB32" s="95">
        <v>6.2</v>
      </c>
      <c r="IC32" s="28"/>
      <c r="ID32" s="89"/>
      <c r="IE32" s="92">
        <f>FY31</f>
        <v>0</v>
      </c>
      <c r="IF32" s="42">
        <f>((FY31*$BQ$27)/$BR$27)</f>
        <v>0</v>
      </c>
      <c r="IG32" s="42" t="e">
        <f>((FY31*$BQ$27)/$BS$27)</f>
        <v>#DIV/0!</v>
      </c>
      <c r="IH32" s="77" t="e">
        <f>((FY31*$BQ$27)/$BT$27)</f>
        <v>#DIV/0!</v>
      </c>
      <c r="II32" s="28"/>
      <c r="IJ32" s="31"/>
    </row>
    <row r="33" spans="1:244" ht="12.75">
      <c r="A33" t="s">
        <v>14</v>
      </c>
      <c r="I33" s="16" t="s">
        <v>26</v>
      </c>
      <c r="L33" s="38"/>
      <c r="M33" s="38"/>
      <c r="N33" s="38"/>
      <c r="O33" s="75"/>
      <c r="P33" s="68"/>
      <c r="Q33" s="68"/>
      <c r="R33" s="58"/>
      <c r="U33" s="8" t="s">
        <v>1</v>
      </c>
      <c r="V33" s="9"/>
      <c r="W33" s="89"/>
      <c r="X33" s="7">
        <v>5.42</v>
      </c>
      <c r="Y33" s="7">
        <v>10.65</v>
      </c>
      <c r="Z33" s="7">
        <v>15.51</v>
      </c>
      <c r="AA33" s="7">
        <v>20.18</v>
      </c>
      <c r="AB33" s="7">
        <v>24.49</v>
      </c>
      <c r="AC33" s="7">
        <v>28.68</v>
      </c>
      <c r="AD33" s="7">
        <v>32.8</v>
      </c>
      <c r="AE33" s="7">
        <v>36.68</v>
      </c>
      <c r="AF33" s="113">
        <v>40.49</v>
      </c>
      <c r="AG33" s="7">
        <v>44.31</v>
      </c>
      <c r="AH33" s="7">
        <v>51.51</v>
      </c>
      <c r="AI33" s="7">
        <v>54.95</v>
      </c>
      <c r="AJ33" s="7">
        <v>58.4</v>
      </c>
      <c r="AK33" s="152">
        <v>61.72</v>
      </c>
      <c r="AL33" s="113">
        <v>65.05</v>
      </c>
      <c r="AM33" s="113">
        <v>77.78</v>
      </c>
      <c r="AN33" s="89"/>
      <c r="AO33" s="7">
        <v>7.1</v>
      </c>
      <c r="AP33" s="7">
        <v>8.45</v>
      </c>
      <c r="AQ33" s="7">
        <v>15.22</v>
      </c>
      <c r="AR33" s="7">
        <v>18.26</v>
      </c>
      <c r="AS33" s="7">
        <v>20.15</v>
      </c>
      <c r="AT33" s="7">
        <v>22.77</v>
      </c>
      <c r="AU33" s="7">
        <v>25.39</v>
      </c>
      <c r="AV33" s="7">
        <v>27.2</v>
      </c>
      <c r="AW33" s="7">
        <v>29</v>
      </c>
      <c r="AX33" s="7">
        <v>30.45</v>
      </c>
      <c r="AY33" s="7">
        <v>31.9</v>
      </c>
      <c r="AZ33" s="7"/>
      <c r="BA33" s="7"/>
      <c r="BB33" s="28"/>
      <c r="BC33" s="7">
        <v>7.21</v>
      </c>
      <c r="BD33" s="7">
        <v>11.9</v>
      </c>
      <c r="BE33" s="28"/>
      <c r="BF33" s="7">
        <v>3.2</v>
      </c>
      <c r="BG33" s="7">
        <v>6.12</v>
      </c>
      <c r="BH33" s="7">
        <v>13.74</v>
      </c>
      <c r="BI33" s="28"/>
      <c r="BJ33" s="46">
        <v>18.07</v>
      </c>
      <c r="BK33" s="46">
        <v>34.76</v>
      </c>
      <c r="BL33" s="28"/>
      <c r="BM33" s="95">
        <v>1.84</v>
      </c>
      <c r="BN33" s="95">
        <v>3.69</v>
      </c>
      <c r="BO33" s="95">
        <v>5.53</v>
      </c>
      <c r="BP33" s="95">
        <v>7.38</v>
      </c>
      <c r="BQ33" s="28"/>
      <c r="BR33" s="185"/>
      <c r="BS33" s="57"/>
      <c r="BT33" s="77"/>
      <c r="BU33" s="28"/>
      <c r="BV33" s="31"/>
      <c r="BX33" s="8" t="s">
        <v>1</v>
      </c>
      <c r="BY33" s="9"/>
      <c r="BZ33" s="89"/>
      <c r="CA33" s="7">
        <v>5.87</v>
      </c>
      <c r="CB33" s="7">
        <v>11.53</v>
      </c>
      <c r="CC33" s="7">
        <v>16.8</v>
      </c>
      <c r="CD33" s="7">
        <v>21.87</v>
      </c>
      <c r="CE33" s="7">
        <v>26.53</v>
      </c>
      <c r="CF33" s="7">
        <v>31.07</v>
      </c>
      <c r="CG33" s="7">
        <v>35.53</v>
      </c>
      <c r="CH33" s="7">
        <v>39.73</v>
      </c>
      <c r="CI33" s="113">
        <v>43.87</v>
      </c>
      <c r="CJ33" s="7">
        <v>48</v>
      </c>
      <c r="CK33" s="7">
        <v>55.8</v>
      </c>
      <c r="CL33" s="7">
        <v>59.53</v>
      </c>
      <c r="CM33" s="7">
        <v>63.27</v>
      </c>
      <c r="CN33" s="152">
        <v>66.87</v>
      </c>
      <c r="CO33" s="113">
        <v>70.47</v>
      </c>
      <c r="CP33" s="113">
        <v>84.27</v>
      </c>
      <c r="CQ33" s="89"/>
      <c r="CR33" s="7">
        <v>7.69</v>
      </c>
      <c r="CS33" s="7">
        <v>9.16</v>
      </c>
      <c r="CT33" s="7">
        <v>16.49</v>
      </c>
      <c r="CU33" s="7">
        <v>19.78</v>
      </c>
      <c r="CV33" s="7">
        <v>21.82</v>
      </c>
      <c r="CW33" s="7">
        <v>24.66</v>
      </c>
      <c r="CX33" s="7">
        <v>27.5</v>
      </c>
      <c r="CY33" s="7">
        <v>29.46</v>
      </c>
      <c r="CZ33" s="7">
        <v>31.42</v>
      </c>
      <c r="DA33" s="7">
        <v>32.99</v>
      </c>
      <c r="DB33" s="7">
        <v>34.56</v>
      </c>
      <c r="DC33" s="7"/>
      <c r="DD33" s="7"/>
      <c r="DE33" s="28"/>
      <c r="DF33" s="7">
        <v>7.81</v>
      </c>
      <c r="DG33" s="7">
        <v>12.9</v>
      </c>
      <c r="DH33" s="28"/>
      <c r="DI33" s="7">
        <v>3.47</v>
      </c>
      <c r="DJ33" s="7">
        <v>6.63</v>
      </c>
      <c r="DK33" s="7">
        <v>14.88</v>
      </c>
      <c r="DL33" s="28"/>
      <c r="DM33" s="46">
        <v>19.58</v>
      </c>
      <c r="DN33" s="46">
        <v>37.66</v>
      </c>
      <c r="DO33" s="28"/>
      <c r="DP33" s="95">
        <v>2</v>
      </c>
      <c r="DQ33" s="95">
        <v>3.99</v>
      </c>
      <c r="DR33" s="95">
        <v>5.99</v>
      </c>
      <c r="DS33" s="95">
        <v>7.99</v>
      </c>
      <c r="DT33" s="28"/>
      <c r="DU33" s="89"/>
      <c r="DV33" s="28"/>
      <c r="DW33" s="57"/>
      <c r="DX33" s="57"/>
      <c r="DY33" s="77"/>
      <c r="DZ33" s="28"/>
      <c r="EA33" s="31"/>
      <c r="EC33" s="8" t="s">
        <v>1</v>
      </c>
      <c r="ED33" s="9"/>
      <c r="EE33" s="89"/>
      <c r="EF33" s="7">
        <v>8.82</v>
      </c>
      <c r="EG33" s="7">
        <v>15.72</v>
      </c>
      <c r="EH33" s="7">
        <v>19.17</v>
      </c>
      <c r="EI33" s="7">
        <v>22.54</v>
      </c>
      <c r="EJ33" s="7">
        <v>29.7</v>
      </c>
      <c r="EK33" s="7">
        <v>36.65</v>
      </c>
      <c r="EL33" s="7">
        <v>41.63</v>
      </c>
      <c r="EM33" s="7">
        <v>46.32</v>
      </c>
      <c r="EN33" s="113">
        <v>50.47</v>
      </c>
      <c r="EO33" s="7">
        <v>54.63</v>
      </c>
      <c r="EP33" s="7">
        <v>63.19</v>
      </c>
      <c r="EQ33" s="7">
        <v>66.88</v>
      </c>
      <c r="ER33" s="7">
        <v>70.56</v>
      </c>
      <c r="ES33" s="113">
        <v>74.02</v>
      </c>
      <c r="ET33" s="113">
        <v>77.47</v>
      </c>
      <c r="EU33" s="113">
        <v>89.09</v>
      </c>
      <c r="EV33" s="89"/>
      <c r="EW33" s="7">
        <v>8.81</v>
      </c>
      <c r="EX33" s="12">
        <v>10.49</v>
      </c>
      <c r="EY33" s="7">
        <v>18.89</v>
      </c>
      <c r="EZ33" s="7">
        <v>22.65</v>
      </c>
      <c r="FA33" s="7">
        <v>25</v>
      </c>
      <c r="FB33" s="12">
        <v>28.88</v>
      </c>
      <c r="FC33" s="7">
        <v>31.5</v>
      </c>
      <c r="FD33" s="12">
        <v>33.75</v>
      </c>
      <c r="FE33" s="7">
        <v>35.99</v>
      </c>
      <c r="FF33" s="12">
        <v>37.79</v>
      </c>
      <c r="FG33" s="7">
        <v>39.58</v>
      </c>
      <c r="FH33" s="7"/>
      <c r="FI33" s="7"/>
      <c r="FJ33" s="28"/>
      <c r="FK33" s="7">
        <v>8.95</v>
      </c>
      <c r="FL33" s="7">
        <v>14.77</v>
      </c>
      <c r="FM33" s="28"/>
      <c r="FN33" s="7">
        <v>3.98</v>
      </c>
      <c r="FO33" s="7">
        <v>7.6</v>
      </c>
      <c r="FP33" s="7">
        <v>17.04</v>
      </c>
      <c r="FQ33" s="28"/>
      <c r="FR33" s="46">
        <v>21.36</v>
      </c>
      <c r="FS33" s="46">
        <v>41.08</v>
      </c>
      <c r="FT33" s="28"/>
      <c r="FU33" s="95">
        <v>2.18</v>
      </c>
      <c r="FV33" s="95">
        <v>4.36</v>
      </c>
      <c r="FW33" s="95">
        <v>6.54</v>
      </c>
      <c r="FX33" s="95">
        <v>8.72</v>
      </c>
      <c r="FY33" s="28"/>
      <c r="FZ33" s="28"/>
      <c r="GA33" s="57"/>
      <c r="GB33" s="57"/>
      <c r="GC33" s="77"/>
      <c r="GD33" s="28"/>
      <c r="GE33" s="31"/>
      <c r="GG33" s="8" t="s">
        <v>1</v>
      </c>
      <c r="GH33" s="9"/>
      <c r="GI33" s="89"/>
      <c r="GJ33" s="7">
        <v>6.72</v>
      </c>
      <c r="GK33" s="7">
        <v>13.21</v>
      </c>
      <c r="GL33" s="7">
        <v>19.24</v>
      </c>
      <c r="GM33" s="7">
        <v>25.05</v>
      </c>
      <c r="GN33" s="7">
        <v>30.39</v>
      </c>
      <c r="GO33" s="7">
        <v>35.59</v>
      </c>
      <c r="GP33" s="7">
        <v>40.7</v>
      </c>
      <c r="GQ33" s="7">
        <v>45.51</v>
      </c>
      <c r="GR33" s="113">
        <v>50.25</v>
      </c>
      <c r="GS33" s="7">
        <v>54.98</v>
      </c>
      <c r="GT33" s="7">
        <v>63.92</v>
      </c>
      <c r="GU33" s="7">
        <v>68.19</v>
      </c>
      <c r="GV33" s="7">
        <v>72.47</v>
      </c>
      <c r="GW33" s="113">
        <v>76.59</v>
      </c>
      <c r="GX33" s="113">
        <v>80.72</v>
      </c>
      <c r="GY33" s="113">
        <v>96.52</v>
      </c>
      <c r="GZ33" s="89"/>
      <c r="HA33" s="7">
        <v>8.81</v>
      </c>
      <c r="HB33" s="12">
        <v>10.49</v>
      </c>
      <c r="HC33" s="7">
        <v>18.89</v>
      </c>
      <c r="HD33" s="7">
        <v>22.65</v>
      </c>
      <c r="HE33" s="7">
        <v>25</v>
      </c>
      <c r="HF33" s="12">
        <v>28.88</v>
      </c>
      <c r="HG33" s="7">
        <v>31.5</v>
      </c>
      <c r="HH33" s="12">
        <v>33.75</v>
      </c>
      <c r="HI33" s="7">
        <v>35.99</v>
      </c>
      <c r="HJ33" s="12">
        <v>37.79</v>
      </c>
      <c r="HK33" s="7">
        <v>39.58</v>
      </c>
      <c r="HL33" s="7"/>
      <c r="HM33" s="7"/>
      <c r="HN33" s="28"/>
      <c r="HO33" s="7">
        <v>8.95</v>
      </c>
      <c r="HP33" s="7">
        <v>14.77</v>
      </c>
      <c r="HQ33" s="28"/>
      <c r="HR33" s="7">
        <v>3.98</v>
      </c>
      <c r="HS33" s="7">
        <v>7.6</v>
      </c>
      <c r="HT33" s="7">
        <v>17.04</v>
      </c>
      <c r="HU33" s="28"/>
      <c r="HV33" s="46">
        <v>21.36</v>
      </c>
      <c r="HW33" s="46">
        <v>41.08</v>
      </c>
      <c r="HX33" s="28"/>
      <c r="HY33" s="95">
        <v>2.18</v>
      </c>
      <c r="HZ33" s="95">
        <v>4.36</v>
      </c>
      <c r="IA33" s="95">
        <v>6.54</v>
      </c>
      <c r="IB33" s="95">
        <v>8.72</v>
      </c>
      <c r="IC33" s="28"/>
      <c r="ID33" s="89"/>
      <c r="IE33" s="28"/>
      <c r="IF33" s="57"/>
      <c r="IG33" s="57"/>
      <c r="IH33" s="77"/>
      <c r="II33" s="28"/>
      <c r="IJ33" s="31"/>
    </row>
    <row r="34" spans="1:244" ht="12.75">
      <c r="A34" t="s">
        <v>10</v>
      </c>
      <c r="C34" s="173">
        <f>IF($M$9="FL",HLOOKUP($K$15,$X$41:$AM$45,2,TRUE),IF($M$9="CO",HLOOKUP($K$15,$CA$41:$CP$45,2,TRUE),IF($M$9="IN",HLOOKUP($K$15,$CA$41:$CP$45,2,TRUE),IF($M$9="TX",HLOOKUP($K$15,$EF$41:$EU$45,2,TRUE),HLOOKUP($K$15,$GJ$41:$GY$45,2,TRUE)))))</f>
        <v>38.67</v>
      </c>
      <c r="D34" s="173">
        <f>IF($K$16="",0,IF($M$9="FL",HLOOKUP($K$16,$AO$41:$BA$45,2,TRUE),IF($M$9="CO",HLOOKUP($K$16,$CR$41:$DD$45,2,TRUE),IF($M$9="IN",HLOOKUP($K$16,$CR$41:$DD$45,2,TRUE),IF($M$9="TX",HLOOKUP($K$16,$EW$41:$FI$45,2,TRUE),HLOOKUP($K$16,$HA$41:$HM$45,2,TRUE))))))</f>
        <v>24.29</v>
      </c>
      <c r="E34" s="173">
        <f>IF($K$17="",0,IF($M$9="FL",HLOOKUP($K$17,$BC$41:$BD$45,2,TRUE),IF($M$9="CO",HLOOKUP($K$17,$DF$41:$DG$45,2,TRUE),IF($M$9="IN",HLOOKUP($K$17,$DF$41:$DG$45,2,TRUE),IF($M$9="TX",HLOOKUP($K$17,$FK$41:$FL$45,2,TRUE),HLOOKUP($K$17,$HO$41:$HP$45,2,TRUE))))))</f>
        <v>5.41</v>
      </c>
      <c r="F34" s="98">
        <f>IF($K$18="",0,IF($M$9="FL",HLOOKUP($K$18,$BF$41:$BH$45,2,TRUE),IF($M$9="CO",HLOOKUP($K$18,$DI$41:$DK$45,2,TRUE),IF($M$9="IN",HLOOKUP($K$18,$DI$76:$DK$80,2,TRUE),IF($M$9="TX",HLOOKUP($K$18,$FN$41:$FP$45,2,TRUE),HLOOKUP($K$18,$HR$41:$HT$45,2,TRUE))))))</f>
        <v>4.21</v>
      </c>
      <c r="G34" s="98">
        <f>IF($K$19="",0,IF($M$9="FL",HLOOKUP($K$19,$BJ$31:$BK$35,2,TRUE),IF($M$9="CO",HLOOKUP($K$19,$DM$31:$DN$35,2,TRUE),IF($M$9="IN",HLOOKUP($K$19,$DM$31:$DN$35,2,TRUE),IF($M$9="TX",HLOOKUP($K$19,$FR$33:$FS$35,2,TRUE),HLOOKUP($K$19,$HV$31:$HW$35,2,TRUE))))))</f>
        <v>0</v>
      </c>
      <c r="H34" s="98">
        <f>IF($K$20="",0,IF($M$9="FL",HLOOKUP($K$20,$BM$31:$BP$35,2,TRUE),IF($M$9="CO",HLOOKUP($K$20,$DP$31:$DS$35,2,TRUE),IF($M$9="IN",HLOOKUP($K$20,$DP$31:$DS$35,2,TRUE),IF($M$9="TX",HLOOKUP($K$20,$FU$31:$FX$35,2,TRUE),HLOOKUP($K$20,$HY$31:$IB$35,2,TRUE))))))</f>
        <v>4.26</v>
      </c>
      <c r="J34" t="s">
        <v>25</v>
      </c>
      <c r="K34" s="24"/>
      <c r="L34" s="38">
        <f>IF(AND($K$16&lt;=($K$15),AND($K$16&lt;=2500),OR($K$17=15,$K$17=20,$K$17=""),OR($K$18=100,$K$18=200,$K$18=500,$K$18=""),OR($K$21="GENERIC",$K$21="GENERIC/BRAND",$K$21=""),OR($K$22=5000,$K$22=10000,$K$22=15000,$K$22=20000,$K$22=""),OR($K$46&lt;5000)),(C34+D34+E34+F34+G34+H34),"ERROR")</f>
        <v>76.84</v>
      </c>
      <c r="M34" s="38">
        <f>SUM(L34*K34)</f>
        <v>0</v>
      </c>
      <c r="N34" s="38"/>
      <c r="O34" s="76"/>
      <c r="P34" s="77"/>
      <c r="Q34" s="77">
        <f>(BR36*((100-$L$12)/100))</f>
        <v>38.42</v>
      </c>
      <c r="R34" s="58"/>
      <c r="U34" s="8" t="s">
        <v>2</v>
      </c>
      <c r="V34" s="9"/>
      <c r="W34" s="89"/>
      <c r="X34" s="7">
        <v>6.83</v>
      </c>
      <c r="Y34" s="7">
        <v>13.35</v>
      </c>
      <c r="Z34" s="7">
        <v>19.45</v>
      </c>
      <c r="AA34" s="7">
        <v>25.29</v>
      </c>
      <c r="AB34" s="7">
        <v>30.71</v>
      </c>
      <c r="AC34" s="7">
        <v>36</v>
      </c>
      <c r="AD34" s="7">
        <v>41.17</v>
      </c>
      <c r="AE34" s="7">
        <v>46.03</v>
      </c>
      <c r="AF34" s="113">
        <v>50.83</v>
      </c>
      <c r="AG34" s="7">
        <v>55.63</v>
      </c>
      <c r="AH34" s="7">
        <v>64.68</v>
      </c>
      <c r="AI34" s="7">
        <v>68.98</v>
      </c>
      <c r="AJ34" s="7">
        <v>73.29</v>
      </c>
      <c r="AK34" s="152">
        <v>77.48</v>
      </c>
      <c r="AL34" s="113">
        <v>81.66</v>
      </c>
      <c r="AM34" s="113">
        <v>97.66</v>
      </c>
      <c r="AN34" s="89"/>
      <c r="AO34" s="7">
        <v>8.53</v>
      </c>
      <c r="AP34" s="7">
        <v>10.16</v>
      </c>
      <c r="AQ34" s="7">
        <v>18.31</v>
      </c>
      <c r="AR34" s="7">
        <v>21.98</v>
      </c>
      <c r="AS34" s="7">
        <v>24.21</v>
      </c>
      <c r="AT34" s="7">
        <v>27.36</v>
      </c>
      <c r="AU34" s="7">
        <v>30.5</v>
      </c>
      <c r="AV34" s="7">
        <v>32.68</v>
      </c>
      <c r="AW34" s="7">
        <v>34.86</v>
      </c>
      <c r="AX34" s="7">
        <v>36.61</v>
      </c>
      <c r="AY34" s="7">
        <v>38.35</v>
      </c>
      <c r="AZ34" s="7"/>
      <c r="BA34" s="7"/>
      <c r="BB34" s="28"/>
      <c r="BC34" s="7">
        <v>8.47</v>
      </c>
      <c r="BD34" s="7">
        <v>15.8</v>
      </c>
      <c r="BE34" s="28"/>
      <c r="BF34" s="7">
        <v>7.84</v>
      </c>
      <c r="BG34" s="7">
        <v>14.94</v>
      </c>
      <c r="BH34" s="7">
        <v>33.37</v>
      </c>
      <c r="BI34" s="28"/>
      <c r="BJ34" s="46">
        <v>13.56</v>
      </c>
      <c r="BK34" s="46">
        <v>26.07</v>
      </c>
      <c r="BL34" s="28"/>
      <c r="BM34" s="95">
        <v>1.69</v>
      </c>
      <c r="BN34" s="95">
        <v>3.38</v>
      </c>
      <c r="BO34" s="95">
        <v>5.08</v>
      </c>
      <c r="BP34" s="95">
        <v>6.77</v>
      </c>
      <c r="BQ34" s="28"/>
      <c r="BR34" s="185"/>
      <c r="BS34" s="57"/>
      <c r="BT34" s="77"/>
      <c r="BU34" s="28"/>
      <c r="BV34" s="31"/>
      <c r="BX34" s="8" t="s">
        <v>2</v>
      </c>
      <c r="BY34" s="9"/>
      <c r="BZ34" s="89"/>
      <c r="CA34" s="7">
        <v>7.4</v>
      </c>
      <c r="CB34" s="7">
        <v>14.47</v>
      </c>
      <c r="CC34" s="7">
        <v>21.07</v>
      </c>
      <c r="CD34" s="7">
        <v>27.4</v>
      </c>
      <c r="CE34" s="7">
        <v>33.27</v>
      </c>
      <c r="CF34" s="7">
        <v>39</v>
      </c>
      <c r="CG34" s="7">
        <v>44.6</v>
      </c>
      <c r="CH34" s="7">
        <v>49.87</v>
      </c>
      <c r="CI34" s="113">
        <v>55.07</v>
      </c>
      <c r="CJ34" s="7">
        <v>60.27</v>
      </c>
      <c r="CK34" s="7">
        <v>70.07</v>
      </c>
      <c r="CL34" s="7">
        <v>74.73</v>
      </c>
      <c r="CM34" s="7">
        <v>79.4</v>
      </c>
      <c r="CN34" s="152">
        <v>83.93</v>
      </c>
      <c r="CO34" s="113">
        <v>88.47</v>
      </c>
      <c r="CP34" s="113">
        <v>105.8</v>
      </c>
      <c r="CQ34" s="89"/>
      <c r="CR34" s="7">
        <v>9.24</v>
      </c>
      <c r="CS34" s="7">
        <v>11.01</v>
      </c>
      <c r="CT34" s="7">
        <v>19.84</v>
      </c>
      <c r="CU34" s="7">
        <v>23.81</v>
      </c>
      <c r="CV34" s="7">
        <v>26.23</v>
      </c>
      <c r="CW34" s="7">
        <v>29.64</v>
      </c>
      <c r="CX34" s="7">
        <v>33.05</v>
      </c>
      <c r="CY34" s="7">
        <v>35.41</v>
      </c>
      <c r="CZ34" s="7">
        <v>37.77</v>
      </c>
      <c r="DA34" s="7">
        <v>39.66</v>
      </c>
      <c r="DB34" s="7">
        <v>41.55</v>
      </c>
      <c r="DC34" s="7"/>
      <c r="DD34" s="7"/>
      <c r="DE34" s="28"/>
      <c r="DF34" s="7">
        <v>9.18</v>
      </c>
      <c r="DG34" s="7">
        <v>17.11</v>
      </c>
      <c r="DH34" s="28"/>
      <c r="DI34" s="7">
        <v>8.49</v>
      </c>
      <c r="DJ34" s="7">
        <v>16.18</v>
      </c>
      <c r="DK34" s="7">
        <v>36.15</v>
      </c>
      <c r="DL34" s="28"/>
      <c r="DM34" s="46">
        <v>14.69</v>
      </c>
      <c r="DN34" s="46">
        <v>28.25</v>
      </c>
      <c r="DO34" s="28"/>
      <c r="DP34" s="95">
        <v>1.83</v>
      </c>
      <c r="DQ34" s="95">
        <v>3.66</v>
      </c>
      <c r="DR34" s="95">
        <v>5.5</v>
      </c>
      <c r="DS34" s="95">
        <v>7.33</v>
      </c>
      <c r="DT34" s="28"/>
      <c r="DU34" s="89"/>
      <c r="DV34" s="28"/>
      <c r="DW34" s="57"/>
      <c r="DX34" s="57"/>
      <c r="DY34" s="77"/>
      <c r="DZ34" s="28"/>
      <c r="EA34" s="31"/>
      <c r="EC34" s="8" t="s">
        <v>2</v>
      </c>
      <c r="ED34" s="9"/>
      <c r="EE34" s="89"/>
      <c r="EF34" s="7">
        <v>14.91</v>
      </c>
      <c r="EG34" s="7">
        <v>24.67</v>
      </c>
      <c r="EH34" s="7">
        <v>28.46</v>
      </c>
      <c r="EI34" s="7">
        <v>33.41</v>
      </c>
      <c r="EJ34" s="7">
        <v>43.99</v>
      </c>
      <c r="EK34" s="7">
        <v>54.33</v>
      </c>
      <c r="EL34" s="7">
        <v>61.62</v>
      </c>
      <c r="EM34" s="7">
        <v>68.48</v>
      </c>
      <c r="EN34" s="113">
        <v>74.68</v>
      </c>
      <c r="EO34" s="7">
        <v>80.88</v>
      </c>
      <c r="EP34" s="7">
        <v>94</v>
      </c>
      <c r="EQ34" s="7">
        <v>99.43</v>
      </c>
      <c r="ER34" s="7">
        <v>104.87</v>
      </c>
      <c r="ES34" s="113">
        <v>110.04</v>
      </c>
      <c r="ET34" s="113">
        <v>115.22</v>
      </c>
      <c r="EU34" s="113">
        <v>132.5</v>
      </c>
      <c r="EV34" s="89"/>
      <c r="EW34" s="7">
        <v>10.58</v>
      </c>
      <c r="EX34" s="12">
        <v>12.61</v>
      </c>
      <c r="EY34" s="7">
        <v>22.73</v>
      </c>
      <c r="EZ34" s="7">
        <v>27.27</v>
      </c>
      <c r="FA34" s="7">
        <v>30.04</v>
      </c>
      <c r="FB34" s="12">
        <v>34.7</v>
      </c>
      <c r="FC34" s="7">
        <v>37.85</v>
      </c>
      <c r="FD34" s="12">
        <v>40.56</v>
      </c>
      <c r="FE34" s="7">
        <v>43.26</v>
      </c>
      <c r="FF34" s="12">
        <v>45.43</v>
      </c>
      <c r="FG34" s="7">
        <v>47.59</v>
      </c>
      <c r="FH34" s="7"/>
      <c r="FI34" s="7"/>
      <c r="FJ34" s="28"/>
      <c r="FK34" s="7">
        <v>10.51</v>
      </c>
      <c r="FL34" s="7">
        <v>19.6</v>
      </c>
      <c r="FM34" s="28"/>
      <c r="FN34" s="7">
        <v>9.73</v>
      </c>
      <c r="FO34" s="7">
        <v>18.54</v>
      </c>
      <c r="FP34" s="7">
        <v>41.4</v>
      </c>
      <c r="FQ34" s="28"/>
      <c r="FR34" s="46">
        <v>16.02</v>
      </c>
      <c r="FS34" s="46">
        <v>30.81</v>
      </c>
      <c r="FT34" s="28"/>
      <c r="FU34" s="95">
        <v>2</v>
      </c>
      <c r="FV34" s="95">
        <v>4</v>
      </c>
      <c r="FW34" s="95">
        <v>6</v>
      </c>
      <c r="FX34" s="95">
        <v>8</v>
      </c>
      <c r="FY34" s="28"/>
      <c r="FZ34" s="28"/>
      <c r="GA34" s="57"/>
      <c r="GB34" s="57"/>
      <c r="GC34" s="77"/>
      <c r="GD34" s="28"/>
      <c r="GE34" s="31"/>
      <c r="GG34" s="8" t="s">
        <v>2</v>
      </c>
      <c r="GH34" s="9"/>
      <c r="GI34" s="89"/>
      <c r="GJ34" s="7">
        <v>8.48</v>
      </c>
      <c r="GK34" s="7">
        <v>16.57</v>
      </c>
      <c r="GL34" s="7">
        <v>24.13</v>
      </c>
      <c r="GM34" s="7">
        <v>31.39</v>
      </c>
      <c r="GN34" s="7">
        <v>38.11</v>
      </c>
      <c r="GO34" s="7">
        <v>44.67</v>
      </c>
      <c r="GP34" s="7">
        <v>51.09</v>
      </c>
      <c r="GQ34" s="7">
        <v>57.12</v>
      </c>
      <c r="GR34" s="113">
        <v>63.08</v>
      </c>
      <c r="GS34" s="7">
        <v>69.03</v>
      </c>
      <c r="GT34" s="7">
        <v>80.26</v>
      </c>
      <c r="GU34" s="7">
        <v>85.6</v>
      </c>
      <c r="GV34" s="7">
        <v>90.95</v>
      </c>
      <c r="GW34" s="113">
        <v>96.14</v>
      </c>
      <c r="GX34" s="113">
        <v>101.33</v>
      </c>
      <c r="GY34" s="113">
        <v>121.19</v>
      </c>
      <c r="GZ34" s="89"/>
      <c r="HA34" s="7">
        <v>10.58</v>
      </c>
      <c r="HB34" s="12">
        <v>12.61</v>
      </c>
      <c r="HC34" s="7">
        <v>22.73</v>
      </c>
      <c r="HD34" s="7">
        <v>27.27</v>
      </c>
      <c r="HE34" s="7">
        <v>30.04</v>
      </c>
      <c r="HF34" s="12">
        <v>34.7</v>
      </c>
      <c r="HG34" s="7">
        <v>37.85</v>
      </c>
      <c r="HH34" s="12">
        <v>40.56</v>
      </c>
      <c r="HI34" s="7">
        <v>43.26</v>
      </c>
      <c r="HJ34" s="12">
        <v>45.43</v>
      </c>
      <c r="HK34" s="7">
        <v>47.59</v>
      </c>
      <c r="HL34" s="7"/>
      <c r="HM34" s="7"/>
      <c r="HN34" s="28"/>
      <c r="HO34" s="7">
        <v>10.51</v>
      </c>
      <c r="HP34" s="7">
        <v>19.6</v>
      </c>
      <c r="HQ34" s="28"/>
      <c r="HR34" s="7">
        <v>9.73</v>
      </c>
      <c r="HS34" s="7">
        <v>18.54</v>
      </c>
      <c r="HT34" s="7">
        <v>41.4</v>
      </c>
      <c r="HU34" s="28"/>
      <c r="HV34" s="46">
        <v>16.02</v>
      </c>
      <c r="HW34" s="46">
        <v>30.81</v>
      </c>
      <c r="HX34" s="28"/>
      <c r="HY34" s="95">
        <v>2</v>
      </c>
      <c r="HZ34" s="95">
        <v>4</v>
      </c>
      <c r="IA34" s="95">
        <v>6</v>
      </c>
      <c r="IB34" s="95">
        <v>8</v>
      </c>
      <c r="IC34" s="28"/>
      <c r="ID34" s="89"/>
      <c r="IE34" s="28"/>
      <c r="IF34" s="57"/>
      <c r="IG34" s="57"/>
      <c r="IH34" s="77"/>
      <c r="II34" s="28"/>
      <c r="IJ34" s="31"/>
    </row>
    <row r="35" spans="1:244" ht="12.75">
      <c r="A35" t="s">
        <v>11</v>
      </c>
      <c r="C35" s="173">
        <f>IF($M$9="FL",HLOOKUP($K$15,$X$41:$AM$45,3,TRUE),IF($M$9="CO",HLOOKUP($K$15,$CA$41:$CP$45,3,TRUE),IF($M$9="IN",HLOOKUP($K$15,$CA$41:$CP$45,3,TRUE),IF($M$9="TX",HLOOKUP($K$15,$EF$41:$EU$45,3,TRUE),HLOOKUP($K$15,$GJ$41:$GY$45,3,TRUE)))))</f>
        <v>69.6</v>
      </c>
      <c r="D35" s="173">
        <f>IF($K$16="",0,IF($M$9="FL",HLOOKUP($K$16,$AO$41:$BA$45,3,TRUE),IF($M$9="CO",HLOOKUP($K$16,$CR$41:$DD$45,3,TRUE),IF($M$9="IN",HLOOKUP($K$16,$CR$41:$DD$45,3,TRUE),IF($M$9="TX",HLOOKUP($K$16,$EW$41:$FI$45,3,TRUE),HLOOKUP($K$16,$HA$41:$HM$45,3,TRUE))))))</f>
        <v>43.72</v>
      </c>
      <c r="E35" s="173">
        <f>IF($K$17="",0,IF($M$9="FL",HLOOKUP($K$17,$BC$41:$BD$45,3,TRUE),IF($M$9="CO",HLOOKUP($K$17,$DF$41:$DG$45,3,TRUE),IF($M$9="IN",HLOOKUP($K$17,$DF$41:$DG$45,3,TRUE),IF($M$9="TX",HLOOKUP($K$17,$FK$41:$FL$45,3,TRUE),HLOOKUP($K$17,$HO$41:$HP$45,3,TRUE))))))</f>
        <v>7.93</v>
      </c>
      <c r="F35" s="98">
        <f>IF($K$18="",0,IF($M$9="FL",HLOOKUP($K$18,$BF$41:$BH$45,3,TRUE),IF($M$9="CO",HLOOKUP($K$18,$DI$41:$DK$45,3,TRUE),IF($M$9="IN",HLOOKUP($K$18,$DI$76:$DK$80,3,TRUE),IF($M$9="TX",HLOOKUP($K$18,$FN$41:$FP$45,3,TRUE),HLOOKUP($K$18,$HR$41:$HT$45,3,TRUE))))))</f>
        <v>6.78</v>
      </c>
      <c r="G35" s="98">
        <f>IF($K$19="",0,IF($M$9="FL",HLOOKUP($K$19,$BJ$31:$BK$35,3,TRUE),IF($M$9="CO",HLOOKUP($K$19,$DM$31:$DN$35,3,TRUE),IF($M$9="IN",HLOOKUP($K$19,$DM$31:$DN$35,3,TRUE),IF($M$9="TX",HLOOKUP($K$19,$FR$33:$FS$35,3,TRUE),HLOOKUP($K$19,$HV$31:$HW$35,3,TRUE))))))</f>
        <v>0</v>
      </c>
      <c r="H35" s="98">
        <f>IF($K$20="",0,IF($M$9="FL",HLOOKUP($K$20,$BM$31:$BP$35,3,TRUE),IF($M$9="CO",HLOOKUP($K$20,$DP$31:$DS$35,3,TRUE),IF($M$9="IN",HLOOKUP($K$20,$DP$31:$DS$35,3,TRUE),IF($M$9="TX",HLOOKUP($K$20,$FU$31:$FX$35,3,TRUE),HLOOKUP($K$20,$HY$31:$IB$35,3,TRUE))))))</f>
        <v>5.99</v>
      </c>
      <c r="J35" t="s">
        <v>53</v>
      </c>
      <c r="K35" s="24"/>
      <c r="L35" s="38">
        <f>IF(AND($K$16&lt;=($K$15),AND($K$16&lt;=2500),OR($K$17=15,$K$17=20,$K$17=""),OR($K$18=100,$K$18=200,$K$18=500,$K$18=""),OR($K$21="GENERIC",$K$21="GENERIC/BRAND",$K$21=""),OR($K$22=5000,$K$22=10000,$K$22=15000,$K$22=20000,$K$22=""),OR($K$46&lt;5000)),(C35+D35+E35+F35+G35+H35),"ERROR")</f>
        <v>134.02</v>
      </c>
      <c r="M35" s="38">
        <f>SUM(L35*K35)</f>
        <v>0</v>
      </c>
      <c r="N35" s="38"/>
      <c r="O35" s="76"/>
      <c r="P35" s="77"/>
      <c r="Q35" s="77">
        <f>IF($L$13&gt;0,(($BR$36*((100-$L$12)/100))+((BR37-$BR$36)*((100-$L$13)/100))),(($BR$36*((100-$L$12)/100))+((BR37-$BR$36))))</f>
        <v>67.01</v>
      </c>
      <c r="R35" s="58"/>
      <c r="U35" s="10" t="s">
        <v>3</v>
      </c>
      <c r="V35" s="11"/>
      <c r="W35" s="89"/>
      <c r="X35" s="7">
        <v>9.23</v>
      </c>
      <c r="Y35" s="7">
        <v>18.09</v>
      </c>
      <c r="Z35" s="7">
        <v>26.34</v>
      </c>
      <c r="AA35" s="7">
        <v>34.28</v>
      </c>
      <c r="AB35" s="7">
        <v>41.6</v>
      </c>
      <c r="AC35" s="7">
        <v>48.74</v>
      </c>
      <c r="AD35" s="7">
        <v>55.75</v>
      </c>
      <c r="AE35" s="7">
        <v>62.34</v>
      </c>
      <c r="AF35" s="113">
        <v>68.83</v>
      </c>
      <c r="AG35" s="7">
        <v>75.32</v>
      </c>
      <c r="AH35" s="7">
        <v>87.57</v>
      </c>
      <c r="AI35" s="7">
        <v>93.42</v>
      </c>
      <c r="AJ35" s="7">
        <v>99.26</v>
      </c>
      <c r="AK35" s="153">
        <v>104.92</v>
      </c>
      <c r="AL35" s="46">
        <v>110.58</v>
      </c>
      <c r="AM35" s="47">
        <v>132.25</v>
      </c>
      <c r="AN35" s="89"/>
      <c r="AO35" s="7">
        <v>11.68</v>
      </c>
      <c r="AP35" s="7">
        <v>13.91</v>
      </c>
      <c r="AQ35" s="7">
        <v>25.07</v>
      </c>
      <c r="AR35" s="7">
        <v>30.05</v>
      </c>
      <c r="AS35" s="7">
        <v>33.14</v>
      </c>
      <c r="AT35" s="7">
        <v>37.45</v>
      </c>
      <c r="AU35" s="7">
        <v>41.76</v>
      </c>
      <c r="AV35" s="7">
        <v>44.74</v>
      </c>
      <c r="AW35" s="7">
        <v>47.72</v>
      </c>
      <c r="AX35" s="7">
        <v>50.11</v>
      </c>
      <c r="AY35" s="7">
        <v>52.49</v>
      </c>
      <c r="AZ35" s="7"/>
      <c r="BA35" s="7"/>
      <c r="BB35" s="28"/>
      <c r="BC35" s="7">
        <v>10.42</v>
      </c>
      <c r="BD35" s="7">
        <v>19.23</v>
      </c>
      <c r="BE35" s="28"/>
      <c r="BF35" s="7">
        <v>9.04</v>
      </c>
      <c r="BG35" s="7">
        <v>17.23</v>
      </c>
      <c r="BH35" s="7">
        <v>38.52</v>
      </c>
      <c r="BI35" s="28"/>
      <c r="BJ35" s="47">
        <v>23.5</v>
      </c>
      <c r="BK35" s="47">
        <v>43.45</v>
      </c>
      <c r="BL35" s="28"/>
      <c r="BM35" s="95">
        <v>2.44</v>
      </c>
      <c r="BN35" s="95">
        <v>4.87</v>
      </c>
      <c r="BO35" s="95">
        <v>7.31</v>
      </c>
      <c r="BP35" s="95">
        <v>9.75</v>
      </c>
      <c r="BQ35" s="28"/>
      <c r="BR35" s="181"/>
      <c r="BS35" s="28"/>
      <c r="BT35" s="28"/>
      <c r="BU35" s="28"/>
      <c r="BV35" s="31"/>
      <c r="BX35" s="10" t="s">
        <v>3</v>
      </c>
      <c r="BY35" s="11"/>
      <c r="BZ35" s="89"/>
      <c r="CA35" s="7">
        <v>10</v>
      </c>
      <c r="CB35" s="7">
        <v>19.6</v>
      </c>
      <c r="CC35" s="7">
        <v>28.53</v>
      </c>
      <c r="CD35" s="7">
        <v>37.13</v>
      </c>
      <c r="CE35" s="7">
        <v>45.07</v>
      </c>
      <c r="CF35" s="7">
        <v>52.8</v>
      </c>
      <c r="CG35" s="7">
        <v>60.4</v>
      </c>
      <c r="CH35" s="7">
        <v>67.53</v>
      </c>
      <c r="CI35" s="113">
        <v>74.57</v>
      </c>
      <c r="CJ35" s="7">
        <v>81.6</v>
      </c>
      <c r="CK35" s="7">
        <v>94.87</v>
      </c>
      <c r="CL35" s="7">
        <v>101.2</v>
      </c>
      <c r="CM35" s="7">
        <v>107.53</v>
      </c>
      <c r="CN35" s="153">
        <v>113.67</v>
      </c>
      <c r="CO35" s="46">
        <v>119.8</v>
      </c>
      <c r="CP35" s="47">
        <v>143.27</v>
      </c>
      <c r="CQ35" s="89"/>
      <c r="CR35" s="7">
        <v>12.65</v>
      </c>
      <c r="CS35" s="7">
        <v>15.07</v>
      </c>
      <c r="CT35" s="7">
        <v>27.16</v>
      </c>
      <c r="CU35" s="7">
        <v>32.55</v>
      </c>
      <c r="CV35" s="7">
        <v>35.9</v>
      </c>
      <c r="CW35" s="7">
        <v>40.57</v>
      </c>
      <c r="CX35" s="7">
        <v>45.24</v>
      </c>
      <c r="CY35" s="7">
        <v>48.47</v>
      </c>
      <c r="CZ35" s="7">
        <v>51.7</v>
      </c>
      <c r="DA35" s="7">
        <v>54.28</v>
      </c>
      <c r="DB35" s="7">
        <v>56.86</v>
      </c>
      <c r="DC35" s="7"/>
      <c r="DD35" s="7"/>
      <c r="DE35" s="28"/>
      <c r="DF35" s="7">
        <v>11.28</v>
      </c>
      <c r="DG35" s="7">
        <v>20.83</v>
      </c>
      <c r="DH35" s="28"/>
      <c r="DI35" s="7">
        <v>9.8</v>
      </c>
      <c r="DJ35" s="7">
        <v>18.66</v>
      </c>
      <c r="DK35" s="7">
        <v>41.73</v>
      </c>
      <c r="DL35" s="28"/>
      <c r="DM35" s="47">
        <v>25.46</v>
      </c>
      <c r="DN35" s="47">
        <v>47.08</v>
      </c>
      <c r="DO35" s="28"/>
      <c r="DP35" s="95">
        <v>2.64</v>
      </c>
      <c r="DQ35" s="95">
        <v>5.28</v>
      </c>
      <c r="DR35" s="95">
        <v>7.92</v>
      </c>
      <c r="DS35" s="95">
        <v>10.55</v>
      </c>
      <c r="DT35" s="28"/>
      <c r="DU35" s="89"/>
      <c r="DV35" s="28"/>
      <c r="DW35" s="28"/>
      <c r="DX35" s="28"/>
      <c r="DY35" s="28"/>
      <c r="DZ35" s="28"/>
      <c r="EA35" s="31"/>
      <c r="EC35" s="10" t="s">
        <v>3</v>
      </c>
      <c r="ED35" s="11"/>
      <c r="EE35" s="89"/>
      <c r="EF35" s="7">
        <v>18.83</v>
      </c>
      <c r="EG35" s="7">
        <v>31.66</v>
      </c>
      <c r="EH35" s="7">
        <v>36.99</v>
      </c>
      <c r="EI35" s="7">
        <v>43.42</v>
      </c>
      <c r="EJ35" s="7">
        <v>57.19</v>
      </c>
      <c r="EK35" s="7">
        <v>70.61</v>
      </c>
      <c r="EL35" s="7">
        <v>80.12</v>
      </c>
      <c r="EM35" s="7">
        <v>89.06</v>
      </c>
      <c r="EN35" s="113">
        <v>97.11</v>
      </c>
      <c r="EO35" s="7">
        <v>105.16</v>
      </c>
      <c r="EP35" s="7">
        <v>122.08</v>
      </c>
      <c r="EQ35" s="7">
        <v>129.15</v>
      </c>
      <c r="ER35" s="7">
        <v>136.23</v>
      </c>
      <c r="ES35" s="46">
        <v>142.94</v>
      </c>
      <c r="ET35" s="46">
        <v>149.65</v>
      </c>
      <c r="EU35" s="47">
        <v>172.1</v>
      </c>
      <c r="EV35" s="89"/>
      <c r="EW35" s="7">
        <v>14.49</v>
      </c>
      <c r="EX35" s="12">
        <v>17.26</v>
      </c>
      <c r="EY35" s="7">
        <v>31.11</v>
      </c>
      <c r="EZ35" s="7">
        <v>37.28</v>
      </c>
      <c r="FA35" s="7">
        <v>41.12</v>
      </c>
      <c r="FB35" s="12">
        <v>47.5</v>
      </c>
      <c r="FC35" s="7">
        <v>51.81</v>
      </c>
      <c r="FD35" s="12">
        <v>55.51</v>
      </c>
      <c r="FE35" s="7">
        <v>59.21</v>
      </c>
      <c r="FF35" s="12">
        <v>62.18</v>
      </c>
      <c r="FG35" s="7">
        <v>65.14</v>
      </c>
      <c r="FH35" s="7"/>
      <c r="FI35" s="7"/>
      <c r="FJ35" s="28"/>
      <c r="FK35" s="7">
        <v>12.93</v>
      </c>
      <c r="FL35" s="7">
        <v>23.86</v>
      </c>
      <c r="FM35" s="28"/>
      <c r="FN35" s="7">
        <v>11.22</v>
      </c>
      <c r="FO35" s="7">
        <v>21.38</v>
      </c>
      <c r="FP35" s="7">
        <v>47.8</v>
      </c>
      <c r="FQ35" s="28"/>
      <c r="FR35" s="47">
        <v>27.77</v>
      </c>
      <c r="FS35" s="47">
        <v>51.35</v>
      </c>
      <c r="FT35" s="28"/>
      <c r="FU35" s="95">
        <v>2.88</v>
      </c>
      <c r="FV35" s="95">
        <v>5.76</v>
      </c>
      <c r="FW35" s="95">
        <v>8.64</v>
      </c>
      <c r="FX35" s="95">
        <v>11.52</v>
      </c>
      <c r="FY35" s="28"/>
      <c r="FZ35" s="28"/>
      <c r="GA35" s="28"/>
      <c r="GB35" s="28"/>
      <c r="GC35" s="28"/>
      <c r="GD35" s="28"/>
      <c r="GE35" s="31"/>
      <c r="GG35" s="10" t="s">
        <v>3</v>
      </c>
      <c r="GH35" s="11"/>
      <c r="GI35" s="89"/>
      <c r="GJ35" s="7">
        <v>11.45</v>
      </c>
      <c r="GK35" s="7">
        <v>22.45</v>
      </c>
      <c r="GL35" s="7">
        <v>32.68</v>
      </c>
      <c r="GM35" s="7">
        <v>42.53</v>
      </c>
      <c r="GN35" s="7">
        <v>51.62</v>
      </c>
      <c r="GO35" s="7">
        <v>60.48</v>
      </c>
      <c r="GP35" s="7">
        <v>69.19</v>
      </c>
      <c r="GQ35" s="7">
        <v>77.36</v>
      </c>
      <c r="GR35" s="113">
        <v>85.41</v>
      </c>
      <c r="GS35" s="7">
        <v>93.47</v>
      </c>
      <c r="GT35" s="7">
        <v>108.67</v>
      </c>
      <c r="GU35" s="7">
        <v>115.92</v>
      </c>
      <c r="GV35" s="7">
        <v>123.17</v>
      </c>
      <c r="GW35" s="46">
        <v>130.2</v>
      </c>
      <c r="GX35" s="46">
        <v>137.23</v>
      </c>
      <c r="GY35" s="47">
        <v>164.11</v>
      </c>
      <c r="GZ35" s="89"/>
      <c r="HA35" s="7">
        <v>14.49</v>
      </c>
      <c r="HB35" s="12">
        <v>17.26</v>
      </c>
      <c r="HC35" s="7">
        <v>31.11</v>
      </c>
      <c r="HD35" s="7">
        <v>37.28</v>
      </c>
      <c r="HE35" s="7">
        <v>41.12</v>
      </c>
      <c r="HF35" s="12">
        <v>47.5</v>
      </c>
      <c r="HG35" s="7">
        <v>51.81</v>
      </c>
      <c r="HH35" s="12">
        <v>55.51</v>
      </c>
      <c r="HI35" s="7">
        <v>59.21</v>
      </c>
      <c r="HJ35" s="12">
        <v>62.18</v>
      </c>
      <c r="HK35" s="7">
        <v>65.14</v>
      </c>
      <c r="HL35" s="7"/>
      <c r="HM35" s="7"/>
      <c r="HN35" s="28"/>
      <c r="HO35" s="7">
        <v>12.93</v>
      </c>
      <c r="HP35" s="7">
        <v>23.86</v>
      </c>
      <c r="HQ35" s="28"/>
      <c r="HR35" s="7">
        <v>11.22</v>
      </c>
      <c r="HS35" s="7">
        <v>21.38</v>
      </c>
      <c r="HT35" s="7">
        <v>47.8</v>
      </c>
      <c r="HU35" s="28"/>
      <c r="HV35" s="47">
        <v>27.77</v>
      </c>
      <c r="HW35" s="47">
        <v>51.35</v>
      </c>
      <c r="HX35" s="28"/>
      <c r="HY35" s="95">
        <v>2.88</v>
      </c>
      <c r="HZ35" s="95">
        <v>5.76</v>
      </c>
      <c r="IA35" s="95">
        <v>8.64</v>
      </c>
      <c r="IB35" s="95">
        <v>11.52</v>
      </c>
      <c r="IC35" s="28"/>
      <c r="ID35" s="89"/>
      <c r="IE35" s="28"/>
      <c r="IF35" s="28"/>
      <c r="IG35" s="28"/>
      <c r="IH35" s="28"/>
      <c r="II35" s="28"/>
      <c r="IJ35" s="31"/>
    </row>
    <row r="36" spans="1:244" ht="12.75">
      <c r="A36" t="s">
        <v>12</v>
      </c>
      <c r="C36" s="173">
        <f>IF($M$9="FL",HLOOKUP($K$15,$X$41:$AM$45,4,TRUE),IF($M$9="CO",HLOOKUP($K$15,$CA$41:$CP$45,4,TRUE),IF($M$9="IN",HLOOKUP($K$15,$CA$41:$CP$45,4,TRUE),IF($M$9="TX",HLOOKUP($K$15,$EF$41:$EU$45,4,TRUE),HLOOKUP($K$15,$GJ$41:$GY$45,4,TRUE)))))</f>
        <v>72.27</v>
      </c>
      <c r="D36" s="173">
        <f>IF($K$16="",0,IF($M$9="FL",HLOOKUP($K$16,$AO$41:$BA$45,4,TRUE),IF($M$9="CO",HLOOKUP($K$16,$CR$41:$DD$45,4,TRUE),IF($M$9="IN",HLOOKUP($K$16,$CR$41:$DD$45,4,TRUE),IF($M$9="TX",HLOOKUP($K$16,$EW$41:$FI$45,4,TRUE),HLOOKUP($K$16,$HA$41:$HM$45,4,TRUE))))))</f>
        <v>44</v>
      </c>
      <c r="E36" s="173">
        <f>IF($K$17="",0,IF($M$9="FL",HLOOKUP($K$17,$BC$41:$BD$45,4,TRUE),IF($M$9="CO",HLOOKUP($K$17,$DF$41:$DG$45,4,TRUE),IF($M$9="IN",HLOOKUP($K$17,$DF$41:$DG$45,4,TRUE),IF($M$9="TX",HLOOKUP($K$17,$FK$41:$FL$45,4,TRUE),HLOOKUP($K$17,$HO$41:$HP$45,4,TRUE))))))</f>
        <v>8.36</v>
      </c>
      <c r="F36" s="98">
        <f>IF($K$18="",0,IF($M$9="FL",HLOOKUP($K$18,$BF$41:$BH$45,4,TRUE),IF($M$9="CO",HLOOKUP($K$18,$DI$41:$DK$45,4,TRUE),IF($M$9="IN",HLOOKUP($K$18,$DI$76:$DK$80,4,TRUE),IF($M$9="TX",HLOOKUP($K$18,$FN$41:$FP$45,4,TRUE),HLOOKUP($K$18,$HR$41:$HT$45,4,TRUE))))))</f>
        <v>14.81</v>
      </c>
      <c r="G36" s="98">
        <f>IF($K$19="",0,IF($M$9="FL",HLOOKUP($K$19,$BJ$31:$BK$35,4,TRUE),IF($M$9="CO",HLOOKUP($K$19,$DM$31:$DN$35,4,TRUE),IF($M$9="IN",HLOOKUP($K$19,$DM$31:$DN$35,4,TRUE),IF($M$9="TX",HLOOKUP($K$19,$FR$33:$FS$35,4,TRUE),HLOOKUP($K$19,$HV$31:$HW$35,4,TRUE))))))</f>
        <v>0</v>
      </c>
      <c r="H36" s="98">
        <f>IF($K$20="",0,IF($M$9="FL",HLOOKUP($K$20,$BM$31:$BP$35,4,TRUE),IF($M$9="CO",HLOOKUP($K$20,$DP$31:$DS$35,4,TRUE),IF($M$9="IN",HLOOKUP($K$20,$DP$31:$DS$35,4,TRUE),IF($M$9="TX",HLOOKUP($K$20,$FU$31:$FX$35,4,TRUE),HLOOKUP($K$20,$HY$31:$IB$35,4,TRUE))))))</f>
        <v>5.5</v>
      </c>
      <c r="J36" t="s">
        <v>55</v>
      </c>
      <c r="K36" s="24"/>
      <c r="L36" s="38">
        <f>IF(AND($K$16&lt;=($K$15),AND($K$16&lt;=2500),OR($K$17=15,$K$17=20,$K$17=""),OR($K$18=100,$K$18=200,$K$18=500,$K$18=""),OR($K$21="GENERIC",$K$21="GENERIC/BRAND",$K$21=""),OR($K$22=5000,$K$22=10000,$K$22=15000,$K$22=20000,$K$22=""),OR($K$46&lt;5000)),(C36+D36+E36+F36+G36+H36),"ERROR")</f>
        <v>144.94</v>
      </c>
      <c r="M36" s="38">
        <f>SUM(L36*K36)</f>
        <v>0</v>
      </c>
      <c r="N36" s="38"/>
      <c r="O36" s="76"/>
      <c r="P36" s="77"/>
      <c r="Q36" s="77">
        <f>IF($L$13&gt;0,(($BR$36*((100-$L$12)/100))+((BR38-$BR$36)*((100-$L$13)/100))),(($BR$36*((100-$L$12)/100))+((BR38-$BR$36))))</f>
        <v>72.47</v>
      </c>
      <c r="R36" s="58"/>
      <c r="U36" s="88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G36" s="89"/>
      <c r="AH36" s="89"/>
      <c r="AI36" s="89"/>
      <c r="AJ36" s="89"/>
      <c r="AK36" s="89"/>
      <c r="AN36" s="89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28"/>
      <c r="BC36" s="89"/>
      <c r="BD36" s="89"/>
      <c r="BE36" s="28"/>
      <c r="BF36" s="89"/>
      <c r="BG36" s="89"/>
      <c r="BH36" s="89"/>
      <c r="BI36" s="28"/>
      <c r="BJ36" s="28"/>
      <c r="BK36" s="28"/>
      <c r="BL36" s="28"/>
      <c r="BM36" s="28"/>
      <c r="BN36" s="28"/>
      <c r="BO36" s="28"/>
      <c r="BP36" s="28"/>
      <c r="BQ36" s="92"/>
      <c r="BR36" s="186">
        <f>((L34*12)/$Q$26)</f>
        <v>38.42</v>
      </c>
      <c r="BS36" s="42"/>
      <c r="BT36" s="77"/>
      <c r="BU36" s="28"/>
      <c r="BV36" s="31"/>
      <c r="BX36" s="88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J36" s="89"/>
      <c r="CK36" s="89"/>
      <c r="CL36" s="89"/>
      <c r="CM36" s="89"/>
      <c r="CN36" s="89"/>
      <c r="CQ36" s="89"/>
      <c r="CR36" s="95"/>
      <c r="CS36" s="95"/>
      <c r="CT36" s="95"/>
      <c r="CU36" s="95"/>
      <c r="CV36" s="95"/>
      <c r="CW36" s="95"/>
      <c r="CX36" s="95"/>
      <c r="CY36" s="95"/>
      <c r="CZ36" s="95"/>
      <c r="DA36" s="95"/>
      <c r="DB36" s="95"/>
      <c r="DC36" s="95"/>
      <c r="DD36" s="95"/>
      <c r="DE36" s="28"/>
      <c r="DF36" s="89"/>
      <c r="DG36" s="89"/>
      <c r="DH36" s="28"/>
      <c r="DI36" s="89"/>
      <c r="DJ36" s="89"/>
      <c r="DK36" s="89"/>
      <c r="DL36" s="28"/>
      <c r="DM36" s="28"/>
      <c r="DN36" s="28"/>
      <c r="DO36" s="28"/>
      <c r="DP36" s="28"/>
      <c r="DQ36" s="28"/>
      <c r="DR36" s="28"/>
      <c r="DS36" s="28"/>
      <c r="DT36" s="28"/>
      <c r="DU36" s="89"/>
      <c r="DV36" s="92" t="e">
        <f>#REF!</f>
        <v>#REF!</v>
      </c>
      <c r="DW36" s="42" t="e">
        <f>((#REF!*$BQ$27)/$BR$27)</f>
        <v>#REF!</v>
      </c>
      <c r="DX36" s="42" t="e">
        <f>((#REF!*$BQ$27)/$BS$27)</f>
        <v>#REF!</v>
      </c>
      <c r="DY36" s="77" t="e">
        <f>((#REF!*$BQ$27)/$BT$27)</f>
        <v>#REF!</v>
      </c>
      <c r="DZ36" s="28"/>
      <c r="EA36" s="31"/>
      <c r="EC36" s="88"/>
      <c r="ED36" s="89"/>
      <c r="EE36" s="89"/>
      <c r="EF36" s="89"/>
      <c r="EG36" s="89"/>
      <c r="EH36" s="89"/>
      <c r="EI36" s="89"/>
      <c r="EJ36" s="89"/>
      <c r="EK36" s="89"/>
      <c r="EL36" s="89"/>
      <c r="EM36" s="89"/>
      <c r="EO36" s="89"/>
      <c r="EP36" s="89"/>
      <c r="EQ36" s="89"/>
      <c r="ER36" s="89"/>
      <c r="ES36" s="99"/>
      <c r="EV36" s="89"/>
      <c r="EW36" s="95"/>
      <c r="EX36" s="47"/>
      <c r="EY36" s="95"/>
      <c r="EZ36" s="95"/>
      <c r="FA36" s="95"/>
      <c r="FB36" s="47"/>
      <c r="FC36" s="95"/>
      <c r="FD36" s="47"/>
      <c r="FE36" s="95"/>
      <c r="FF36" s="47"/>
      <c r="FG36" s="95"/>
      <c r="FH36" s="95"/>
      <c r="FI36" s="95"/>
      <c r="FJ36" s="28"/>
      <c r="FK36" s="89"/>
      <c r="FL36" s="89"/>
      <c r="FM36" s="28"/>
      <c r="FN36" s="89"/>
      <c r="FO36" s="89"/>
      <c r="FP36" s="89"/>
      <c r="FQ36" s="28"/>
      <c r="FR36" s="28"/>
      <c r="FS36" s="28"/>
      <c r="FT36" s="28"/>
      <c r="FU36" s="28"/>
      <c r="FV36" s="28"/>
      <c r="FW36" s="28"/>
      <c r="FX36" s="28"/>
      <c r="FY36" s="28"/>
      <c r="FZ36" s="92">
        <f>DT34</f>
        <v>0</v>
      </c>
      <c r="GA36" s="42">
        <f>((DT34*$BQ$27)/$BR$27)</f>
        <v>0</v>
      </c>
      <c r="GB36" s="42" t="e">
        <f>((DT34*$BQ$27)/$BS$27)</f>
        <v>#DIV/0!</v>
      </c>
      <c r="GC36" s="77" t="e">
        <f>((DT34*$BQ$27)/$BT$27)</f>
        <v>#DIV/0!</v>
      </c>
      <c r="GD36" s="28"/>
      <c r="GE36" s="31"/>
      <c r="GG36" s="88"/>
      <c r="GH36" s="89"/>
      <c r="GI36" s="89"/>
      <c r="GJ36" s="89"/>
      <c r="GK36" s="89"/>
      <c r="GL36" s="89"/>
      <c r="GM36" s="89"/>
      <c r="GN36" s="89"/>
      <c r="GO36" s="89"/>
      <c r="GP36" s="89"/>
      <c r="GQ36" s="89"/>
      <c r="GR36" s="174"/>
      <c r="GS36" s="89"/>
      <c r="GT36" s="89"/>
      <c r="GU36" s="89"/>
      <c r="GV36" s="89"/>
      <c r="GW36" s="99"/>
      <c r="GZ36" s="89"/>
      <c r="HA36" s="95"/>
      <c r="HB36" s="47"/>
      <c r="HC36" s="95"/>
      <c r="HD36" s="95"/>
      <c r="HE36" s="95"/>
      <c r="HF36" s="47"/>
      <c r="HG36" s="95"/>
      <c r="HH36" s="47"/>
      <c r="HI36" s="95"/>
      <c r="HJ36" s="47"/>
      <c r="HK36" s="95"/>
      <c r="HL36" s="95"/>
      <c r="HM36" s="95"/>
      <c r="HN36" s="28"/>
      <c r="HO36" s="89"/>
      <c r="HP36" s="89"/>
      <c r="HQ36" s="28"/>
      <c r="HR36" s="89"/>
      <c r="HS36" s="89"/>
      <c r="HT36" s="89"/>
      <c r="HU36" s="28"/>
      <c r="HV36" s="28"/>
      <c r="HW36" s="28"/>
      <c r="HX36" s="28"/>
      <c r="HY36" s="28"/>
      <c r="HZ36" s="28"/>
      <c r="IA36" s="28"/>
      <c r="IB36" s="28"/>
      <c r="IC36" s="28"/>
      <c r="ID36" s="89"/>
      <c r="IE36" s="92">
        <f>FY34</f>
        <v>0</v>
      </c>
      <c r="IF36" s="42">
        <f>((FY34*$BQ$27)/$BR$27)</f>
        <v>0</v>
      </c>
      <c r="IG36" s="42" t="e">
        <f>((FY34*$BQ$27)/$BS$27)</f>
        <v>#DIV/0!</v>
      </c>
      <c r="IH36" s="77" t="e">
        <f>((FY34*$BQ$27)/$BT$27)</f>
        <v>#DIV/0!</v>
      </c>
      <c r="II36" s="28"/>
      <c r="IJ36" s="31"/>
    </row>
    <row r="37" spans="1:244" ht="12.75">
      <c r="A37" t="s">
        <v>13</v>
      </c>
      <c r="C37" s="173">
        <f>IF($M$9="FL",HLOOKUP($K$15,$X$41:$AM$45,5,TRUE),IF($M$9="CO",HLOOKUP($K$15,$CA$41:$CP$45,5,TRUE),IF($M$9="IN",HLOOKUP($K$15,$CA$41:$CP$45,5,TRUE),IF($M$9="TX",HLOOKUP($K$15,$EF$41:$EU$45,5,TRUE),HLOOKUP($K$15,$GJ$41:$GY$45,5,TRUE)))))</f>
        <v>103.2</v>
      </c>
      <c r="D37" s="173">
        <f>IF($K$16="",0,IF($M$9="FL",HLOOKUP($K$16,$AO$41:$BA$45,5,TRUE),IF($M$9="CO",HLOOKUP($K$16,$CR$41:$DD$45,5,TRUE),IF($M$9="IN",HLOOKUP($K$16,$CR$41:$DD$45,5,TRUE),IF($M$9="TX",HLOOKUP($K$16,$EW$41:$FI$45,5,TRUE),HLOOKUP($K$16,$HA$41:$HM$45,5,TRUE))))))</f>
        <v>63.37</v>
      </c>
      <c r="E37" s="173">
        <f>IF($K$17="",0,IF($M$9="FL",HLOOKUP($K$17,$BC$41:$BD$45,5,TRUE),IF($M$9="CO",HLOOKUP($K$17,$DF$41:$DG$45,5,TRUE),IF($M$9="IN",HLOOKUP($K$17,$DF$41:$DG$45,5,TRUE),IF($M$9="TX",HLOOKUP($K$17,$FK$41:$FL$45,5,TRUE),HLOOKUP($K$17,$HO$41:$HP$45,5,TRUE))))))</f>
        <v>9.95</v>
      </c>
      <c r="F37" s="98">
        <f>IF($K$18="",0,IF($M$9="FL",HLOOKUP($K$18,$BF$41:$BH$45,5,TRUE),IF($M$9="CO",HLOOKUP($K$18,$DI$41:$DK$45,5,TRUE),IF($M$9="IN",HLOOKUP($K$18,$DI$76:$DK$80,5,TRUE),IF($M$9="TX",HLOOKUP($K$18,$FN$41:$FP$45,5,TRUE),HLOOKUP($K$18,$HR$41:$HT$45,5,TRUE))))))</f>
        <v>16.45</v>
      </c>
      <c r="G37" s="98">
        <f>IF($K$19="",0,IF($M$9="FL",HLOOKUP($K$19,$BJ$31:$BK$35,5,TRUE),IF($M$9="CO",HLOOKUP($K$19,$DM$31:$DN$35,5,TRUE),IF($M$9="IN",HLOOKUP($K$19,$DM$31:$DN$35,5,TRUE),IF($M$9="TX",HLOOKUP($K$19,$FR$33:$FS$35,5,TRUE),HLOOKUP($K$19,$HV$31:$HW$35,5,TRUE))))))</f>
        <v>0</v>
      </c>
      <c r="H37" s="98">
        <f>IF($K$20="",0,IF($M$9="FL",HLOOKUP($K$20,$BM$31:$BP$35,5,TRUE),IF($M$9="CO",HLOOKUP($K$20,$DP$31:$DS$35,5,TRUE),IF($M$9="IN (requires state specific enrollment materials)",HLOOKUP($K$20,$DP$31:$DS$35,5,TRUE),IF($M$9="TX",HLOOKUP($K$20,$FU$31:$FX$35,5,TRUE),HLOOKUP($K$20,$HY$31:$IB$35,5,TRUE))))))</f>
        <v>7.92</v>
      </c>
      <c r="J37" t="s">
        <v>54</v>
      </c>
      <c r="K37" s="24"/>
      <c r="L37" s="38">
        <f>IF(AND($K$16&lt;=($K$15),AND($K$16&lt;=2500),OR($K$17=15,$K$17=20,$K$17=""),OR($K$18=100,$K$18=200,$K$18=500,$K$18=""),OR($K$21="GENERIC",$K$21="GENERIC/BRAND",$K$21=""),OR($K$22=5000,$K$22=10000,$K$22=15000,$K$22=20000,$K$22=""),OR($K$46&lt;5000)),(C37+D37+E37+F37+G37+H37),"ERROR")</f>
        <v>200.88999999999996</v>
      </c>
      <c r="M37" s="38">
        <f>SUM(L37*K37)</f>
        <v>0</v>
      </c>
      <c r="N37" s="38"/>
      <c r="O37" s="76"/>
      <c r="P37" s="77"/>
      <c r="Q37" s="77">
        <f>IF($L$13&gt;0,(($BR$36*((100-$L$12)/100))+((BR39-$BR$36)*((100-$L$13)/100))),(($BR$36*((100-$L$12)/100))+((BR39-$BR$36))))</f>
        <v>100.44499999999998</v>
      </c>
      <c r="R37" s="58"/>
      <c r="U37" s="88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G37" s="89"/>
      <c r="AH37" s="89"/>
      <c r="AI37" s="89"/>
      <c r="AJ37" s="89"/>
      <c r="AK37" s="89"/>
      <c r="AN37" s="89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28"/>
      <c r="BC37" s="89"/>
      <c r="BD37" s="89"/>
      <c r="BE37" s="28"/>
      <c r="BF37" s="89"/>
      <c r="BG37" s="89"/>
      <c r="BH37" s="89"/>
      <c r="BI37" s="28"/>
      <c r="BJ37" s="28"/>
      <c r="BK37" s="28"/>
      <c r="BL37" s="28"/>
      <c r="BM37" s="28"/>
      <c r="BN37" s="28"/>
      <c r="BO37" s="28"/>
      <c r="BP37" s="28"/>
      <c r="BQ37" s="92"/>
      <c r="BR37" s="186">
        <f>((L35*12)/$Q$26)</f>
        <v>67.01</v>
      </c>
      <c r="BS37" s="42"/>
      <c r="BT37" s="77"/>
      <c r="BU37" s="28"/>
      <c r="BV37" s="31"/>
      <c r="BX37" s="88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J37" s="89"/>
      <c r="CK37" s="89"/>
      <c r="CL37" s="89"/>
      <c r="CM37" s="89"/>
      <c r="CN37" s="89"/>
      <c r="CQ37" s="89"/>
      <c r="CR37" s="95"/>
      <c r="CS37" s="95"/>
      <c r="CT37" s="95"/>
      <c r="CU37" s="95"/>
      <c r="CV37" s="95"/>
      <c r="CW37" s="95"/>
      <c r="CX37" s="95"/>
      <c r="CY37" s="95"/>
      <c r="CZ37" s="95"/>
      <c r="DA37" s="95"/>
      <c r="DB37" s="95"/>
      <c r="DC37" s="95"/>
      <c r="DD37" s="95"/>
      <c r="DE37" s="28"/>
      <c r="DF37" s="89"/>
      <c r="DG37" s="89"/>
      <c r="DH37" s="28"/>
      <c r="DI37" s="89"/>
      <c r="DJ37" s="89"/>
      <c r="DK37" s="89"/>
      <c r="DL37" s="28"/>
      <c r="DM37" s="28"/>
      <c r="DN37" s="28"/>
      <c r="DO37" s="28"/>
      <c r="DP37" s="28"/>
      <c r="DQ37" s="28"/>
      <c r="DR37" s="28"/>
      <c r="DS37" s="28"/>
      <c r="DT37" s="28"/>
      <c r="DU37" s="89"/>
      <c r="DV37" s="92" t="e">
        <f>#REF!</f>
        <v>#REF!</v>
      </c>
      <c r="DW37" s="42" t="e">
        <f>((#REF!*$BQ$27)/$BR$27)</f>
        <v>#REF!</v>
      </c>
      <c r="DX37" s="42" t="e">
        <f>((#REF!*$BQ$27)/$BS$27)</f>
        <v>#REF!</v>
      </c>
      <c r="DY37" s="77" t="e">
        <f>((#REF!*$BQ$27)/$BT$27)</f>
        <v>#REF!</v>
      </c>
      <c r="DZ37" s="28"/>
      <c r="EA37" s="31"/>
      <c r="EC37" s="88"/>
      <c r="ED37" s="89"/>
      <c r="EE37" s="89"/>
      <c r="EF37" s="89"/>
      <c r="EG37" s="89"/>
      <c r="EH37" s="89"/>
      <c r="EI37" s="89"/>
      <c r="EJ37" s="89"/>
      <c r="EK37" s="89"/>
      <c r="EL37" s="89"/>
      <c r="EM37" s="89"/>
      <c r="EO37" s="89"/>
      <c r="EP37" s="89"/>
      <c r="EQ37" s="89"/>
      <c r="ER37" s="89"/>
      <c r="ES37" s="99"/>
      <c r="EV37" s="89"/>
      <c r="EW37" s="95"/>
      <c r="EX37" s="47"/>
      <c r="EY37" s="95"/>
      <c r="EZ37" s="95"/>
      <c r="FA37" s="95"/>
      <c r="FB37" s="47"/>
      <c r="FC37" s="95"/>
      <c r="FD37" s="47"/>
      <c r="FE37" s="95"/>
      <c r="FF37" s="47"/>
      <c r="FG37" s="95"/>
      <c r="FH37" s="95"/>
      <c r="FI37" s="95"/>
      <c r="FJ37" s="28"/>
      <c r="FK37" s="89"/>
      <c r="FL37" s="89"/>
      <c r="FM37" s="28"/>
      <c r="FN37" s="89"/>
      <c r="FO37" s="89"/>
      <c r="FP37" s="89"/>
      <c r="FQ37" s="28"/>
      <c r="FR37" s="28"/>
      <c r="FS37" s="28"/>
      <c r="FT37" s="28"/>
      <c r="FU37" s="28"/>
      <c r="FV37" s="28"/>
      <c r="FW37" s="28"/>
      <c r="FX37" s="28"/>
      <c r="FY37" s="28"/>
      <c r="FZ37" s="92">
        <f>DT35</f>
        <v>0</v>
      </c>
      <c r="GA37" s="42">
        <f>((DT35*$BQ$27)/$BR$27)</f>
        <v>0</v>
      </c>
      <c r="GB37" s="42" t="e">
        <f>((DT35*$BQ$27)/$BS$27)</f>
        <v>#DIV/0!</v>
      </c>
      <c r="GC37" s="77" t="e">
        <f>((DT35*$BQ$27)/$BT$27)</f>
        <v>#DIV/0!</v>
      </c>
      <c r="GD37" s="28"/>
      <c r="GE37" s="31"/>
      <c r="GG37" s="88"/>
      <c r="GH37" s="89"/>
      <c r="GI37" s="89"/>
      <c r="GJ37" s="89"/>
      <c r="GK37" s="89"/>
      <c r="GL37" s="89"/>
      <c r="GM37" s="89"/>
      <c r="GN37" s="89"/>
      <c r="GO37" s="89"/>
      <c r="GP37" s="89"/>
      <c r="GQ37" s="89"/>
      <c r="GR37" s="174"/>
      <c r="GS37" s="89"/>
      <c r="GT37" s="89"/>
      <c r="GU37" s="89"/>
      <c r="GV37" s="89"/>
      <c r="GW37" s="99"/>
      <c r="GZ37" s="89"/>
      <c r="HA37" s="95"/>
      <c r="HB37" s="47"/>
      <c r="HC37" s="95"/>
      <c r="HD37" s="95"/>
      <c r="HE37" s="95"/>
      <c r="HF37" s="47"/>
      <c r="HG37" s="95"/>
      <c r="HH37" s="47"/>
      <c r="HI37" s="95"/>
      <c r="HJ37" s="47"/>
      <c r="HK37" s="95"/>
      <c r="HL37" s="95"/>
      <c r="HM37" s="95"/>
      <c r="HN37" s="28"/>
      <c r="HO37" s="89"/>
      <c r="HP37" s="89"/>
      <c r="HQ37" s="28"/>
      <c r="HR37" s="89"/>
      <c r="HS37" s="89"/>
      <c r="HT37" s="89"/>
      <c r="HU37" s="28"/>
      <c r="HV37" s="28"/>
      <c r="HW37" s="28"/>
      <c r="HX37" s="28"/>
      <c r="HY37" s="28"/>
      <c r="HZ37" s="28"/>
      <c r="IA37" s="28"/>
      <c r="IB37" s="28"/>
      <c r="IC37" s="28"/>
      <c r="ID37" s="89"/>
      <c r="IE37" s="92">
        <f>FY35</f>
        <v>0</v>
      </c>
      <c r="IF37" s="42">
        <f>((FY35*$BQ$27)/$BR$27)</f>
        <v>0</v>
      </c>
      <c r="IG37" s="42" t="e">
        <f>((FY35*$BQ$27)/$BS$27)</f>
        <v>#DIV/0!</v>
      </c>
      <c r="IH37" s="77" t="e">
        <f>((FY35*$BQ$27)/$BT$27)</f>
        <v>#DIV/0!</v>
      </c>
      <c r="II37" s="28"/>
      <c r="IJ37" s="31"/>
    </row>
    <row r="38" spans="3:244" ht="7.5" customHeight="1">
      <c r="C38" s="174"/>
      <c r="D38" s="174"/>
      <c r="E38" s="174"/>
      <c r="L38" s="38"/>
      <c r="M38" s="38"/>
      <c r="N38" s="38"/>
      <c r="O38" s="75"/>
      <c r="P38" s="68"/>
      <c r="Q38" s="68"/>
      <c r="R38" s="58"/>
      <c r="U38" s="88"/>
      <c r="V38" s="89"/>
      <c r="W38" s="89"/>
      <c r="X38" s="90" t="s">
        <v>6</v>
      </c>
      <c r="Y38" s="91"/>
      <c r="Z38" s="91"/>
      <c r="AA38" s="91"/>
      <c r="AB38" s="91"/>
      <c r="AC38" s="91"/>
      <c r="AD38" s="91"/>
      <c r="AE38" s="91"/>
      <c r="AG38" s="91"/>
      <c r="AH38" s="91"/>
      <c r="AI38" s="91"/>
      <c r="AJ38" s="91"/>
      <c r="AK38" s="91"/>
      <c r="AN38" s="89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28"/>
      <c r="BC38" s="89"/>
      <c r="BD38" s="89"/>
      <c r="BE38" s="28"/>
      <c r="BF38" s="89"/>
      <c r="BG38" s="89"/>
      <c r="BH38" s="89"/>
      <c r="BI38" s="28"/>
      <c r="BJ38" s="28"/>
      <c r="BK38" s="28"/>
      <c r="BL38" s="28"/>
      <c r="BM38" s="28"/>
      <c r="BN38" s="28"/>
      <c r="BO38" s="28"/>
      <c r="BP38" s="28"/>
      <c r="BQ38" s="92"/>
      <c r="BR38" s="186">
        <f>((L36*12)/$Q$26)</f>
        <v>72.47</v>
      </c>
      <c r="BS38" s="42"/>
      <c r="BT38" s="77"/>
      <c r="BU38" s="28"/>
      <c r="BV38" s="31"/>
      <c r="BX38" s="88"/>
      <c r="BY38" s="89"/>
      <c r="BZ38" s="89"/>
      <c r="CA38" s="90" t="s">
        <v>6</v>
      </c>
      <c r="CB38" s="91"/>
      <c r="CC38" s="91"/>
      <c r="CD38" s="91"/>
      <c r="CE38" s="91"/>
      <c r="CF38" s="91"/>
      <c r="CG38" s="91"/>
      <c r="CH38" s="91"/>
      <c r="CJ38" s="91"/>
      <c r="CK38" s="91"/>
      <c r="CL38" s="91"/>
      <c r="CM38" s="91"/>
      <c r="CN38" s="91"/>
      <c r="CQ38" s="89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28"/>
      <c r="DF38" s="89"/>
      <c r="DG38" s="89"/>
      <c r="DH38" s="28"/>
      <c r="DI38" s="89"/>
      <c r="DJ38" s="89"/>
      <c r="DK38" s="89"/>
      <c r="DL38" s="28"/>
      <c r="DM38" s="28"/>
      <c r="DN38" s="28"/>
      <c r="DO38" s="28"/>
      <c r="DP38" s="28"/>
      <c r="DQ38" s="28"/>
      <c r="DR38" s="28"/>
      <c r="DS38" s="28"/>
      <c r="DT38" s="28"/>
      <c r="DU38" s="89"/>
      <c r="DV38" s="92" t="e">
        <f>#REF!</f>
        <v>#REF!</v>
      </c>
      <c r="DW38" s="42" t="e">
        <f>((#REF!*$BQ$27)/$BR$27)</f>
        <v>#REF!</v>
      </c>
      <c r="DX38" s="42" t="e">
        <f>((#REF!*$BQ$27)/$BS$27)</f>
        <v>#REF!</v>
      </c>
      <c r="DY38" s="77" t="e">
        <f>((#REF!*$BQ$27)/$BT$27)</f>
        <v>#REF!</v>
      </c>
      <c r="DZ38" s="28"/>
      <c r="EA38" s="31"/>
      <c r="EC38" s="88"/>
      <c r="ED38" s="89"/>
      <c r="EE38" s="89"/>
      <c r="EF38" s="90" t="s">
        <v>6</v>
      </c>
      <c r="EG38" s="91"/>
      <c r="EH38" s="91"/>
      <c r="EI38" s="91"/>
      <c r="EJ38" s="91"/>
      <c r="EK38" s="91"/>
      <c r="EL38" s="91"/>
      <c r="EM38" s="91"/>
      <c r="EO38" s="91"/>
      <c r="EP38" s="91"/>
      <c r="EQ38" s="91"/>
      <c r="ER38" s="91"/>
      <c r="ES38" s="178"/>
      <c r="EV38" s="89"/>
      <c r="EW38" s="95"/>
      <c r="EX38" s="47"/>
      <c r="EY38" s="95"/>
      <c r="EZ38" s="95"/>
      <c r="FA38" s="95"/>
      <c r="FB38" s="47"/>
      <c r="FC38" s="95"/>
      <c r="FD38" s="47"/>
      <c r="FE38" s="95"/>
      <c r="FF38" s="47"/>
      <c r="FG38" s="95"/>
      <c r="FH38" s="95"/>
      <c r="FI38" s="95"/>
      <c r="FJ38" s="28"/>
      <c r="FK38" s="89"/>
      <c r="FL38" s="89"/>
      <c r="FM38" s="28"/>
      <c r="FN38" s="89"/>
      <c r="FO38" s="89"/>
      <c r="FP38" s="89"/>
      <c r="FQ38" s="28"/>
      <c r="FR38" s="28"/>
      <c r="FS38" s="28"/>
      <c r="FT38" s="28"/>
      <c r="FU38" s="28"/>
      <c r="FV38" s="28"/>
      <c r="FW38" s="28"/>
      <c r="FX38" s="28"/>
      <c r="FY38" s="28"/>
      <c r="FZ38" s="92">
        <f>DT36</f>
        <v>0</v>
      </c>
      <c r="GA38" s="42">
        <f>((DT36*$BQ$27)/$BR$27)</f>
        <v>0</v>
      </c>
      <c r="GB38" s="42" t="e">
        <f>((DT36*$BQ$27)/$BS$27)</f>
        <v>#DIV/0!</v>
      </c>
      <c r="GC38" s="77" t="e">
        <f>((DT36*$BQ$27)/$BT$27)</f>
        <v>#DIV/0!</v>
      </c>
      <c r="GD38" s="28"/>
      <c r="GE38" s="31"/>
      <c r="GG38" s="88"/>
      <c r="GH38" s="89"/>
      <c r="GI38" s="89"/>
      <c r="GJ38" s="90" t="s">
        <v>6</v>
      </c>
      <c r="GK38" s="91"/>
      <c r="GL38" s="91"/>
      <c r="GM38" s="91"/>
      <c r="GN38" s="91"/>
      <c r="GO38" s="91"/>
      <c r="GP38" s="91"/>
      <c r="GQ38" s="91"/>
      <c r="GR38" s="174"/>
      <c r="GS38" s="91"/>
      <c r="GT38" s="91"/>
      <c r="GU38" s="91"/>
      <c r="GV38" s="91"/>
      <c r="GW38" s="178"/>
      <c r="GZ38" s="89"/>
      <c r="HA38" s="95"/>
      <c r="HB38" s="47"/>
      <c r="HC38" s="95"/>
      <c r="HD38" s="95"/>
      <c r="HE38" s="95"/>
      <c r="HF38" s="47"/>
      <c r="HG38" s="95"/>
      <c r="HH38" s="47"/>
      <c r="HI38" s="95"/>
      <c r="HJ38" s="47"/>
      <c r="HK38" s="95"/>
      <c r="HL38" s="95"/>
      <c r="HM38" s="95"/>
      <c r="HN38" s="28"/>
      <c r="HO38" s="89"/>
      <c r="HP38" s="89"/>
      <c r="HQ38" s="28"/>
      <c r="HR38" s="89"/>
      <c r="HS38" s="89"/>
      <c r="HT38" s="89"/>
      <c r="HU38" s="28"/>
      <c r="HV38" s="28"/>
      <c r="HW38" s="28"/>
      <c r="HX38" s="28"/>
      <c r="HY38" s="28"/>
      <c r="HZ38" s="28"/>
      <c r="IA38" s="28"/>
      <c r="IB38" s="28"/>
      <c r="IC38" s="28"/>
      <c r="ID38" s="89"/>
      <c r="IE38" s="92">
        <f>FY36</f>
        <v>0</v>
      </c>
      <c r="IF38" s="42">
        <f>((FY36*$BQ$27)/$BR$27)</f>
        <v>0</v>
      </c>
      <c r="IG38" s="42" t="e">
        <f>((FY36*$BQ$27)/$BS$27)</f>
        <v>#DIV/0!</v>
      </c>
      <c r="IH38" s="77" t="e">
        <f>((FY36*$BQ$27)/$BT$27)</f>
        <v>#DIV/0!</v>
      </c>
      <c r="II38" s="28"/>
      <c r="IJ38" s="31"/>
    </row>
    <row r="39" spans="1:244" ht="12.75">
      <c r="A39" t="s">
        <v>15</v>
      </c>
      <c r="C39" s="174"/>
      <c r="D39" s="174"/>
      <c r="E39" s="174"/>
      <c r="I39" s="16" t="s">
        <v>27</v>
      </c>
      <c r="L39" s="38"/>
      <c r="M39" s="38"/>
      <c r="N39" s="38"/>
      <c r="O39" s="75"/>
      <c r="P39" s="68"/>
      <c r="Q39" s="68"/>
      <c r="R39" s="58"/>
      <c r="U39" s="88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G39" s="89"/>
      <c r="AH39" s="89"/>
      <c r="AI39" s="89"/>
      <c r="AJ39" s="89"/>
      <c r="AK39" s="89"/>
      <c r="AN39" s="89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28"/>
      <c r="BC39" s="89"/>
      <c r="BD39" s="89"/>
      <c r="BE39" s="28"/>
      <c r="BF39" s="89"/>
      <c r="BG39" s="89"/>
      <c r="BH39" s="89"/>
      <c r="BI39" s="28"/>
      <c r="BJ39" s="28"/>
      <c r="BK39" s="28"/>
      <c r="BL39" s="28"/>
      <c r="BM39" s="28"/>
      <c r="BN39" s="28"/>
      <c r="BO39" s="28"/>
      <c r="BP39" s="28"/>
      <c r="BQ39" s="92"/>
      <c r="BR39" s="186">
        <f>((L37*12)/$Q$26)</f>
        <v>100.44499999999998</v>
      </c>
      <c r="BS39" s="42"/>
      <c r="BT39" s="77"/>
      <c r="BU39" s="28"/>
      <c r="BV39" s="31"/>
      <c r="BX39" s="88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J39" s="89"/>
      <c r="CK39" s="89"/>
      <c r="CL39" s="89"/>
      <c r="CM39" s="89"/>
      <c r="CN39" s="89"/>
      <c r="CQ39" s="89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D39" s="95"/>
      <c r="DE39" s="28"/>
      <c r="DF39" s="89"/>
      <c r="DG39" s="89"/>
      <c r="DH39" s="28"/>
      <c r="DI39" s="89"/>
      <c r="DJ39" s="89"/>
      <c r="DK39" s="89"/>
      <c r="DL39" s="28"/>
      <c r="DM39" s="28"/>
      <c r="DN39" s="28"/>
      <c r="DO39" s="28"/>
      <c r="DP39" s="28"/>
      <c r="DQ39" s="28"/>
      <c r="DR39" s="28"/>
      <c r="DS39" s="28"/>
      <c r="DT39" s="28"/>
      <c r="DU39" s="89"/>
      <c r="DV39" s="92" t="e">
        <f>#REF!</f>
        <v>#REF!</v>
      </c>
      <c r="DW39" s="42" t="e">
        <f>((#REF!*$BQ$27)/$BR$27)</f>
        <v>#REF!</v>
      </c>
      <c r="DX39" s="42" t="e">
        <f>((#REF!*$BQ$27)/$BS$27)</f>
        <v>#REF!</v>
      </c>
      <c r="DY39" s="77" t="e">
        <f>((#REF!*$BQ$27)/$BT$27)</f>
        <v>#REF!</v>
      </c>
      <c r="DZ39" s="28"/>
      <c r="EA39" s="31"/>
      <c r="EC39" s="88"/>
      <c r="ED39" s="89"/>
      <c r="EE39" s="89"/>
      <c r="EF39" s="89"/>
      <c r="EG39" s="89"/>
      <c r="EH39" s="89"/>
      <c r="EI39" s="89"/>
      <c r="EJ39" s="89"/>
      <c r="EK39" s="89"/>
      <c r="EL39" s="89"/>
      <c r="EM39" s="89"/>
      <c r="EO39" s="89"/>
      <c r="EP39" s="89"/>
      <c r="EQ39" s="89"/>
      <c r="ER39" s="89"/>
      <c r="ES39" s="99"/>
      <c r="EV39" s="89"/>
      <c r="EW39" s="95"/>
      <c r="EX39" s="47"/>
      <c r="EY39" s="95"/>
      <c r="EZ39" s="95"/>
      <c r="FA39" s="95"/>
      <c r="FB39" s="47"/>
      <c r="FC39" s="95"/>
      <c r="FD39" s="47"/>
      <c r="FE39" s="95"/>
      <c r="FF39" s="47"/>
      <c r="FG39" s="95"/>
      <c r="FH39" s="95"/>
      <c r="FI39" s="95"/>
      <c r="FJ39" s="28"/>
      <c r="FK39" s="89"/>
      <c r="FL39" s="89"/>
      <c r="FM39" s="28"/>
      <c r="FN39" s="89"/>
      <c r="FO39" s="89"/>
      <c r="FP39" s="89"/>
      <c r="FQ39" s="28"/>
      <c r="FR39" s="28"/>
      <c r="FS39" s="28"/>
      <c r="FT39" s="28"/>
      <c r="FU39" s="28"/>
      <c r="FV39" s="28"/>
      <c r="FW39" s="28"/>
      <c r="FX39" s="28"/>
      <c r="FY39" s="28"/>
      <c r="FZ39" s="92">
        <f>DT37</f>
        <v>0</v>
      </c>
      <c r="GA39" s="42">
        <f>((DT37*$BQ$27)/$BR$27)</f>
        <v>0</v>
      </c>
      <c r="GB39" s="42" t="e">
        <f>((DT37*$BQ$27)/$BS$27)</f>
        <v>#DIV/0!</v>
      </c>
      <c r="GC39" s="77" t="e">
        <f>((DT37*$BQ$27)/$BT$27)</f>
        <v>#DIV/0!</v>
      </c>
      <c r="GD39" s="28"/>
      <c r="GE39" s="31"/>
      <c r="GG39" s="88"/>
      <c r="GH39" s="89"/>
      <c r="GI39" s="89"/>
      <c r="GJ39" s="89"/>
      <c r="GK39" s="89"/>
      <c r="GL39" s="89"/>
      <c r="GM39" s="89"/>
      <c r="GN39" s="89"/>
      <c r="GO39" s="89"/>
      <c r="GP39" s="89"/>
      <c r="GQ39" s="89"/>
      <c r="GR39" s="174"/>
      <c r="GS39" s="89"/>
      <c r="GT39" s="89"/>
      <c r="GU39" s="89"/>
      <c r="GV39" s="89"/>
      <c r="GW39" s="99"/>
      <c r="GZ39" s="89"/>
      <c r="HA39" s="95"/>
      <c r="HB39" s="47"/>
      <c r="HC39" s="95"/>
      <c r="HD39" s="95"/>
      <c r="HE39" s="95"/>
      <c r="HF39" s="47"/>
      <c r="HG39" s="95"/>
      <c r="HH39" s="47"/>
      <c r="HI39" s="95"/>
      <c r="HJ39" s="47"/>
      <c r="HK39" s="95"/>
      <c r="HL39" s="95"/>
      <c r="HM39" s="95"/>
      <c r="HN39" s="28"/>
      <c r="HO39" s="89"/>
      <c r="HP39" s="89"/>
      <c r="HQ39" s="28"/>
      <c r="HR39" s="89"/>
      <c r="HS39" s="89"/>
      <c r="HT39" s="89"/>
      <c r="HU39" s="28"/>
      <c r="HV39" s="28"/>
      <c r="HW39" s="28"/>
      <c r="HX39" s="28"/>
      <c r="HY39" s="93" t="s">
        <v>61</v>
      </c>
      <c r="HZ39" s="28"/>
      <c r="IB39" s="28"/>
      <c r="IC39" s="28"/>
      <c r="ID39" s="89"/>
      <c r="IE39" s="92">
        <f>FY37</f>
        <v>0</v>
      </c>
      <c r="IF39" s="42">
        <f>((FY37*$BQ$27)/$BR$27)</f>
        <v>0</v>
      </c>
      <c r="IG39" s="42" t="e">
        <f>((FY37*$BQ$27)/$BS$27)</f>
        <v>#DIV/0!</v>
      </c>
      <c r="IH39" s="77" t="e">
        <f>((FY37*$BQ$27)/$BT$27)</f>
        <v>#DIV/0!</v>
      </c>
      <c r="II39" s="28"/>
      <c r="IJ39" s="31"/>
    </row>
    <row r="40" spans="1:244" ht="12.75">
      <c r="A40" t="s">
        <v>10</v>
      </c>
      <c r="C40" s="173">
        <f>IF($M$9="FL",HLOOKUP($K$15,$X$51:$AM$55,2,TRUE),IF($M$9="CO",HLOOKUP($K$15,$CA$51:$CP$55,2,TRUE),IF($M$9="IN",HLOOKUP($K$15,$CA$51:$CP$55,2,TRUE),IF($M$9="TX",HLOOKUP($K$15,$EF$51:$EU$55,2,TRUE),HLOOKUP($K$15,$GJ$51:$GY$55,2,TRUE)))))</f>
        <v>52</v>
      </c>
      <c r="D40" s="173">
        <f>IF($K$16="",0,IF($M$9="FL",HLOOKUP($K$16,$AO$51:$BA$55,2,TRUE),IF($M$9="CO",HLOOKUP($K$16,$CR$51:$DD$55,2,TRUE),IF($M$9="IN",HLOOKUP($K$16,$CR$51:$DD$55,2,TRUE),IF($M$9="TX",HLOOKUP($K$16,$EW$51:$FI$55,2,TRUE),HLOOKUP($K$16,$HA$51:$HM$55,2,TRUE))))))</f>
        <v>49.96</v>
      </c>
      <c r="E40" s="173">
        <f>IF($K$17="",0,IF($M$9="FL",HLOOKUP($K$17,$BC$51:$BD$55,2,TRUE),IF($M$9="CO",HLOOKUP($K$17,$DF$51:$DG$55,2,TRUE),IF($M$9="IN",HLOOKUP($K$17,$DF$51:$DG$55,2,TRUE),IF($M$9="TX",HLOOKUP($K$17,$FK$51:$FL$55,2,TRUE),HLOOKUP($K$17,$HO$51:$HP$55,2,TRUE))))))</f>
        <v>11.17</v>
      </c>
      <c r="F40" s="98">
        <f>IF($K$18="",0,IF($M$9="FL",HLOOKUP($K$18,$BF$51:$BH$55,2,TRUE),IF($M$9="CO",HLOOKUP($K$18,$DI$51:$DK$55,2,TRUE),IF($M$9="IN",HLOOKUP($K$18,$DI$86:$DK$90,2,TRUE),IF($M$9="TX",HLOOKUP($K$18,$FN$51:$FP$55,2,TRUE),HLOOKUP($K$18,$HR$51:$HT$55,2,TRUE))))))</f>
        <v>8.67</v>
      </c>
      <c r="G40" s="98">
        <f>IF($K$19="",0,IF($M$9="FL",HLOOKUP($K$19,$BJ$31:$BK$35,2,TRUE),IF($M$9="CO",HLOOKUP($K$19,$DM$31:$DN$35,2,TRUE),IF($M$9="IN",HLOOKUP($K$19,$DM$31:$DN$35,2,TRUE),IF($M$9="TX",HLOOKUP($K$19,$FR$31:$FS$35,2,TRUE),HLOOKUP($K$19,$HV$31:$HW$35,2,TRUE))))))</f>
        <v>0</v>
      </c>
      <c r="H40" s="98">
        <f>IF($K$20="",0,IF($M$9="FL",HLOOKUP($K$20,$BM$31:$BP$35,2,TRUE),IF($M$9="CO",HLOOKUP($K$20,$DP$31:$DS$35,2,TRUE),IF($M$9="IN",HLOOKUP($K$20,$DP$31:$DS$35,2,TRUE),IF($M$9="TX",HLOOKUP($K$20,$FU$31:$FX$35,2,TRUE),HLOOKUP($K$20,$HY$31:$IB$35,2,TRUE))))))</f>
        <v>4.26</v>
      </c>
      <c r="J40" t="s">
        <v>25</v>
      </c>
      <c r="K40" s="24"/>
      <c r="L40" s="38">
        <f>IF(AND($K$16&lt;=($K$15),AND($K$16&lt;=2500),OR($K$17=15,$K$17=20,$K$17=""),OR($K$18=100,$K$18=200,$K$18=500,$K$18=""),OR($K$21="GENERIC",$K$21="GENERIC/BRAND",$K$21=""),OR($K$22=5000,$K$22=10000,$K$22=15000,$K$22=20000,$K$22=""),($K$46&lt;5000)),(C40+D40+E40+F40+G40+H40),"ERROR")</f>
        <v>126.06000000000002</v>
      </c>
      <c r="M40" s="38">
        <f>SUM(L40*K40)</f>
        <v>0</v>
      </c>
      <c r="N40" s="38"/>
      <c r="O40" s="76"/>
      <c r="P40" s="77"/>
      <c r="Q40" s="77">
        <f>(BR42*((100-$L$12)/100))</f>
        <v>63.03000000000001</v>
      </c>
      <c r="R40" s="58"/>
      <c r="U40" s="27"/>
      <c r="V40" s="28"/>
      <c r="W40" s="89"/>
      <c r="X40" s="3" t="s">
        <v>5</v>
      </c>
      <c r="Y40" s="3"/>
      <c r="Z40" s="3"/>
      <c r="AA40" s="3"/>
      <c r="AB40" s="3"/>
      <c r="AC40" s="3"/>
      <c r="AD40" s="3"/>
      <c r="AE40" s="3"/>
      <c r="AG40" s="3"/>
      <c r="AH40" s="3"/>
      <c r="AI40" s="3"/>
      <c r="AJ40" s="3"/>
      <c r="AK40" s="150"/>
      <c r="AN40" s="89"/>
      <c r="AO40" s="3" t="s">
        <v>5</v>
      </c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28"/>
      <c r="BC40" s="89"/>
      <c r="BD40" s="89"/>
      <c r="BE40" s="28"/>
      <c r="BF40" s="89"/>
      <c r="BG40" s="89"/>
      <c r="BH40" s="89"/>
      <c r="BI40" s="28"/>
      <c r="BJ40" s="28"/>
      <c r="BK40" s="28"/>
      <c r="BL40" s="28"/>
      <c r="BM40" s="28"/>
      <c r="BN40" s="28"/>
      <c r="BO40" s="28"/>
      <c r="BP40" s="28"/>
      <c r="BQ40" s="28"/>
      <c r="BR40" s="185"/>
      <c r="BS40" s="57"/>
      <c r="BT40" s="77"/>
      <c r="BU40" s="28"/>
      <c r="BV40" s="31"/>
      <c r="BX40" s="27"/>
      <c r="BY40" s="28"/>
      <c r="BZ40" s="89"/>
      <c r="CA40" s="3" t="s">
        <v>5</v>
      </c>
      <c r="CB40" s="3"/>
      <c r="CC40" s="3"/>
      <c r="CD40" s="3"/>
      <c r="CE40" s="3"/>
      <c r="CF40" s="3"/>
      <c r="CG40" s="3"/>
      <c r="CH40" s="3"/>
      <c r="CJ40" s="3"/>
      <c r="CK40" s="3"/>
      <c r="CL40" s="3"/>
      <c r="CM40" s="3"/>
      <c r="CN40" s="150"/>
      <c r="CQ40" s="89"/>
      <c r="CR40" s="3" t="s">
        <v>5</v>
      </c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28"/>
      <c r="DF40" s="89"/>
      <c r="DG40" s="89"/>
      <c r="DH40" s="28"/>
      <c r="DI40" s="89"/>
      <c r="DJ40" s="89"/>
      <c r="DK40" s="89"/>
      <c r="DL40" s="28"/>
      <c r="DM40" s="28"/>
      <c r="DN40" s="28"/>
      <c r="DO40" s="28"/>
      <c r="DP40" s="28"/>
      <c r="DQ40" s="28"/>
      <c r="DR40" s="28"/>
      <c r="DS40" s="28"/>
      <c r="DT40" s="28"/>
      <c r="DU40" s="89"/>
      <c r="DV40" s="28"/>
      <c r="DW40" s="57"/>
      <c r="DX40" s="57"/>
      <c r="DY40" s="77"/>
      <c r="DZ40" s="28"/>
      <c r="EA40" s="31"/>
      <c r="EC40" s="27"/>
      <c r="ED40" s="28"/>
      <c r="EE40" s="89"/>
      <c r="EF40" s="3" t="s">
        <v>5</v>
      </c>
      <c r="EG40" s="3"/>
      <c r="EH40" s="3"/>
      <c r="EI40" s="3"/>
      <c r="EJ40" s="3"/>
      <c r="EK40" s="3"/>
      <c r="EL40" s="3"/>
      <c r="EM40" s="3"/>
      <c r="EO40" s="3"/>
      <c r="EP40" s="3"/>
      <c r="EQ40" s="3"/>
      <c r="ER40" s="3"/>
      <c r="ES40" s="179"/>
      <c r="EV40" s="89"/>
      <c r="EW40" s="3" t="s">
        <v>5</v>
      </c>
      <c r="EX40" s="175"/>
      <c r="EY40" s="3"/>
      <c r="EZ40" s="3"/>
      <c r="FA40" s="3"/>
      <c r="FB40" s="175"/>
      <c r="FC40" s="3"/>
      <c r="FD40" s="175"/>
      <c r="FE40" s="3"/>
      <c r="FF40" s="175"/>
      <c r="FG40" s="3"/>
      <c r="FH40" s="3"/>
      <c r="FI40" s="3"/>
      <c r="FJ40" s="28"/>
      <c r="FK40" s="89"/>
      <c r="FL40" s="89"/>
      <c r="FM40" s="28"/>
      <c r="FN40" s="89"/>
      <c r="FO40" s="89"/>
      <c r="FP40" s="89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57"/>
      <c r="GB40" s="57"/>
      <c r="GC40" s="77"/>
      <c r="GD40" s="28"/>
      <c r="GE40" s="31"/>
      <c r="GG40" s="27"/>
      <c r="GH40" s="28"/>
      <c r="GI40" s="89"/>
      <c r="GJ40" s="3" t="s">
        <v>5</v>
      </c>
      <c r="GK40" s="3"/>
      <c r="GL40" s="3"/>
      <c r="GM40" s="3"/>
      <c r="GN40" s="3"/>
      <c r="GO40" s="3"/>
      <c r="GP40" s="3"/>
      <c r="GQ40" s="3"/>
      <c r="GR40" s="174"/>
      <c r="GS40" s="3"/>
      <c r="GT40" s="3"/>
      <c r="GU40" s="3"/>
      <c r="GV40" s="3"/>
      <c r="GW40" s="179"/>
      <c r="GZ40" s="89"/>
      <c r="HA40" s="3" t="s">
        <v>5</v>
      </c>
      <c r="HB40" s="175"/>
      <c r="HC40" s="3"/>
      <c r="HD40" s="3"/>
      <c r="HE40" s="3"/>
      <c r="HF40" s="175"/>
      <c r="HG40" s="3"/>
      <c r="HH40" s="175"/>
      <c r="HI40" s="3"/>
      <c r="HJ40" s="175"/>
      <c r="HK40" s="3"/>
      <c r="HL40" s="3"/>
      <c r="HM40" s="3"/>
      <c r="HN40" s="28"/>
      <c r="HO40" s="89"/>
      <c r="HP40" s="89"/>
      <c r="HQ40" s="28"/>
      <c r="HR40" s="89"/>
      <c r="HS40" s="89"/>
      <c r="HT40" s="89"/>
      <c r="HU40" s="28"/>
      <c r="HV40" s="28"/>
      <c r="HW40" s="28"/>
      <c r="HX40" s="28"/>
      <c r="HY40" s="89" t="s">
        <v>62</v>
      </c>
      <c r="HZ40" s="87" t="s">
        <v>130</v>
      </c>
      <c r="IB40" s="28"/>
      <c r="IC40" s="28"/>
      <c r="ID40" s="89"/>
      <c r="IE40" s="28"/>
      <c r="IF40" s="57"/>
      <c r="IG40" s="57"/>
      <c r="IH40" s="77"/>
      <c r="II40" s="28"/>
      <c r="IJ40" s="31"/>
    </row>
    <row r="41" spans="1:244" ht="12.75">
      <c r="A41" t="s">
        <v>11</v>
      </c>
      <c r="C41" s="173">
        <f>IF($M$9="FL",HLOOKUP($K$15,$X$51:$AM$55,3,TRUE),IF($M$9="CO",HLOOKUP($K$15,$CA$51:$CP$55,3,TRUE),IF($M$9="IN",HLOOKUP($K$15,$CA$51:$CP$55,3,TRUE),IF($M$9="TX",HLOOKUP($K$15,$EF$51:$EU$55,3,TRUE),HLOOKUP($K$15,$GJ$51:$GY$55,3,TRUE)))))</f>
        <v>93.6</v>
      </c>
      <c r="D41" s="173">
        <f>IF($K$16="",0,IF($M$9="FL",HLOOKUP($K$16,$AO$51:$BA$55,3,TRUE),IF($M$9="CO",HLOOKUP($K$16,$CR$51:$DD$55,3,TRUE),IF($M$9="IN",HLOOKUP($K$16,$CR$51:$DD$55,3,TRUE),IF($M$9="TX",HLOOKUP($K$16,$EW$51:$FI$55,3,TRUE),HLOOKUP($K$16,$HA$51:$HM$55,3,TRUE))))))</f>
        <v>89.89</v>
      </c>
      <c r="E41" s="173">
        <f>IF($K$17="",0,IF($M$9="FL",HLOOKUP($K$17,$BC$51:$BD$55,3,TRUE),IF($M$9="CO",HLOOKUP($K$17,$DF$51:$DG$55,3,TRUE),IF($M$9="IN",HLOOKUP($K$17,$DF$51:$DG$55,3,TRUE),IF($M$9="TX",HLOOKUP($K$17,$FK$51:$FL$55,3,TRUE),HLOOKUP($K$17,$HO$51:$HP$55,3,TRUE))))))</f>
        <v>13.33</v>
      </c>
      <c r="F41" s="98">
        <f>IF($K$18="",0,IF($M$9="FL",HLOOKUP($K$18,$BF$51:$BH$55,3,TRUE),IF($M$9="CO",HLOOKUP($K$18,$DI$51:$DK$55,3,TRUE),IF($M$9="IN",HLOOKUP($K$18,$DI$86:$DK$90,3,TRUE),IF($M$9="TX",HLOOKUP($K$18,$FN$51:$FP$55,3,TRUE),HLOOKUP($K$18,$HR$51:$HT$55,3,TRUE))))))</f>
        <v>12</v>
      </c>
      <c r="G41" s="98">
        <f>IF($K$19="",0,IF($M$9="FL",HLOOKUP($K$19,$BJ$31:$BK$35,3,TRUE),IF($M$9="CO",HLOOKUP($K$19,$DM$31:$DN$35,3,TRUE),IF($M$9="IN",HLOOKUP($K$19,$DM$31:$DN$35,3,TRUE),IF($M$9="TX",HLOOKUP($K$19,$FR$31:$FS$35,3,TRUE),HLOOKUP($K$19,$HV$31:$HW$35,3,TRUE))))))</f>
        <v>0</v>
      </c>
      <c r="H41" s="98">
        <f>IF($K$20="",0,IF($M$9="FL",HLOOKUP($K$20,$BM$31:$BP$35,3,TRUE),IF($M$9="CO",HLOOKUP($K$20,$DP$31:$DS$35,3,TRUE),IF($M$9="IN",HLOOKUP($K$20,$DP$31:$DS$35,3,TRUE),IF($M$9="TX",HLOOKUP($K$20,$FU$31:$FX$35,3,TRUE),HLOOKUP($K$20,$HY$31:$IB$35,3,TRUE))))))</f>
        <v>5.99</v>
      </c>
      <c r="J41" t="s">
        <v>53</v>
      </c>
      <c r="K41" s="24"/>
      <c r="L41" s="38">
        <f>IF(AND($K$16&lt;=($K$15),AND($K$16&lt;=2500),OR($K$17=15,$K$17=20,$K$17=""),OR($K$18=100,$K$18=200,$K$18=500,$K$18=""),OR($K$21="GENERIC",$K$21="GENERIC/BRAND",$K$21=""),OR($K$22=5000,$K$22=10000,$K$22=15000,$K$22=20000,$K$22=""),OR($K$46&lt;5000)),(C41+D41+E41+F41+G41+H41),"ERROR")</f>
        <v>214.81000000000003</v>
      </c>
      <c r="M41" s="38">
        <f>SUM(L41*K41)</f>
        <v>0</v>
      </c>
      <c r="N41" s="38"/>
      <c r="O41" s="76"/>
      <c r="P41" s="77"/>
      <c r="Q41" s="77">
        <f>IF($L$13&gt;0,(($BR$42*((100-$L$12)/100))+((BR43-$BR$42)*((100-$L$13)/100))),(($BR$42*((100-$L$12)/100))+((BR43-$BR$42))))</f>
        <v>107.40500000000002</v>
      </c>
      <c r="R41" s="58"/>
      <c r="U41" s="27"/>
      <c r="V41" s="28"/>
      <c r="W41" s="89"/>
      <c r="X41" s="4">
        <v>500</v>
      </c>
      <c r="Y41" s="4">
        <v>1000</v>
      </c>
      <c r="Z41" s="4">
        <v>1500</v>
      </c>
      <c r="AA41" s="4">
        <v>2000</v>
      </c>
      <c r="AB41" s="4">
        <v>2500</v>
      </c>
      <c r="AC41" s="4">
        <v>3000</v>
      </c>
      <c r="AD41" s="4">
        <v>3500</v>
      </c>
      <c r="AE41" s="4">
        <v>4000</v>
      </c>
      <c r="AF41" s="112">
        <v>4500</v>
      </c>
      <c r="AG41" s="4">
        <v>5000</v>
      </c>
      <c r="AH41" s="4">
        <v>6000</v>
      </c>
      <c r="AI41" s="4">
        <v>6500</v>
      </c>
      <c r="AJ41" s="4">
        <v>7000</v>
      </c>
      <c r="AK41" s="151">
        <v>7500</v>
      </c>
      <c r="AL41" s="112">
        <v>8000</v>
      </c>
      <c r="AM41" s="114">
        <v>10000</v>
      </c>
      <c r="AN41" s="89"/>
      <c r="AO41" s="4">
        <v>200</v>
      </c>
      <c r="AP41" s="4">
        <v>250</v>
      </c>
      <c r="AQ41" s="4">
        <v>500</v>
      </c>
      <c r="AR41" s="4">
        <v>750</v>
      </c>
      <c r="AS41" s="4">
        <v>1000</v>
      </c>
      <c r="AT41" s="4">
        <v>1250</v>
      </c>
      <c r="AU41" s="4">
        <v>1500</v>
      </c>
      <c r="AV41" s="4">
        <v>1750</v>
      </c>
      <c r="AW41" s="4">
        <v>2000</v>
      </c>
      <c r="AX41" s="4">
        <v>2250</v>
      </c>
      <c r="AY41" s="4">
        <v>2500</v>
      </c>
      <c r="AZ41" s="4"/>
      <c r="BA41" s="4"/>
      <c r="BB41" s="28"/>
      <c r="BC41" s="20">
        <v>15</v>
      </c>
      <c r="BD41" s="20">
        <v>20</v>
      </c>
      <c r="BE41" s="28"/>
      <c r="BF41" s="20">
        <v>100</v>
      </c>
      <c r="BG41" s="20">
        <v>200</v>
      </c>
      <c r="BH41" s="20">
        <v>500</v>
      </c>
      <c r="BI41" s="28"/>
      <c r="BJ41" s="28"/>
      <c r="BK41" s="28"/>
      <c r="BL41" s="28"/>
      <c r="BM41" s="28"/>
      <c r="BN41" s="28"/>
      <c r="BO41" s="28"/>
      <c r="BP41" s="28"/>
      <c r="BQ41" s="28"/>
      <c r="BR41" s="185"/>
      <c r="BS41" s="57"/>
      <c r="BT41" s="77"/>
      <c r="BU41" s="28"/>
      <c r="BV41" s="31"/>
      <c r="BX41" s="27"/>
      <c r="BY41" s="28"/>
      <c r="BZ41" s="89"/>
      <c r="CA41" s="4">
        <v>500</v>
      </c>
      <c r="CB41" s="4">
        <v>1000</v>
      </c>
      <c r="CC41" s="4">
        <v>1500</v>
      </c>
      <c r="CD41" s="4">
        <v>2000</v>
      </c>
      <c r="CE41" s="4">
        <v>2500</v>
      </c>
      <c r="CF41" s="4">
        <v>3000</v>
      </c>
      <c r="CG41" s="4">
        <v>3500</v>
      </c>
      <c r="CH41" s="4">
        <v>4000</v>
      </c>
      <c r="CI41" s="112">
        <v>4500</v>
      </c>
      <c r="CJ41" s="4">
        <v>5000</v>
      </c>
      <c r="CK41" s="4">
        <v>6000</v>
      </c>
      <c r="CL41" s="4">
        <v>6500</v>
      </c>
      <c r="CM41" s="4">
        <v>7000</v>
      </c>
      <c r="CN41" s="151">
        <v>7500</v>
      </c>
      <c r="CO41" s="112">
        <v>8000</v>
      </c>
      <c r="CP41" s="112">
        <v>10000</v>
      </c>
      <c r="CQ41" s="89"/>
      <c r="CR41" s="4">
        <v>200</v>
      </c>
      <c r="CS41" s="4">
        <v>250</v>
      </c>
      <c r="CT41" s="4">
        <v>500</v>
      </c>
      <c r="CU41" s="4">
        <v>750</v>
      </c>
      <c r="CV41" s="4">
        <v>1000</v>
      </c>
      <c r="CW41" s="4">
        <v>1250</v>
      </c>
      <c r="CX41" s="4">
        <v>1500</v>
      </c>
      <c r="CY41" s="4">
        <v>1750</v>
      </c>
      <c r="CZ41" s="4">
        <v>2000</v>
      </c>
      <c r="DA41" s="4">
        <v>2250</v>
      </c>
      <c r="DB41" s="4">
        <v>2500</v>
      </c>
      <c r="DC41" s="4"/>
      <c r="DD41" s="4"/>
      <c r="DE41" s="28"/>
      <c r="DF41" s="20">
        <v>15</v>
      </c>
      <c r="DG41" s="20">
        <v>20</v>
      </c>
      <c r="DH41" s="28"/>
      <c r="DI41" s="20">
        <v>100</v>
      </c>
      <c r="DJ41" s="20">
        <v>200</v>
      </c>
      <c r="DK41" s="20">
        <v>500</v>
      </c>
      <c r="DL41" s="28"/>
      <c r="DM41" s="28"/>
      <c r="DN41" s="28"/>
      <c r="DO41" s="28"/>
      <c r="DP41" s="28"/>
      <c r="DQ41" s="28"/>
      <c r="DR41" s="28"/>
      <c r="DS41" s="28"/>
      <c r="DT41" s="28"/>
      <c r="DU41" s="89"/>
      <c r="DV41" s="28"/>
      <c r="DW41" s="57"/>
      <c r="DX41" s="57"/>
      <c r="DY41" s="77"/>
      <c r="DZ41" s="28"/>
      <c r="EA41" s="31"/>
      <c r="EC41" s="27"/>
      <c r="ED41" s="28"/>
      <c r="EE41" s="89"/>
      <c r="EF41" s="4">
        <v>500</v>
      </c>
      <c r="EG41" s="4">
        <v>1000</v>
      </c>
      <c r="EH41" s="4">
        <v>1500</v>
      </c>
      <c r="EI41" s="4">
        <v>2000</v>
      </c>
      <c r="EJ41" s="4">
        <v>2500</v>
      </c>
      <c r="EK41" s="4">
        <v>3000</v>
      </c>
      <c r="EL41" s="4">
        <v>3500</v>
      </c>
      <c r="EM41" s="4">
        <v>4000</v>
      </c>
      <c r="EN41" s="112">
        <v>4500</v>
      </c>
      <c r="EO41" s="4">
        <v>5000</v>
      </c>
      <c r="EP41" s="4">
        <v>6000</v>
      </c>
      <c r="EQ41" s="4">
        <v>6500</v>
      </c>
      <c r="ER41" s="4">
        <v>7000</v>
      </c>
      <c r="ES41" s="112">
        <v>7500</v>
      </c>
      <c r="ET41" s="112">
        <v>8000</v>
      </c>
      <c r="EU41" s="114">
        <v>10000</v>
      </c>
      <c r="EV41" s="89"/>
      <c r="EW41" s="4">
        <v>200</v>
      </c>
      <c r="EX41" s="176">
        <v>250</v>
      </c>
      <c r="EY41" s="4">
        <v>500</v>
      </c>
      <c r="EZ41" s="4">
        <v>750</v>
      </c>
      <c r="FA41" s="4">
        <v>1000</v>
      </c>
      <c r="FB41" s="176">
        <v>1250</v>
      </c>
      <c r="FC41" s="4">
        <v>1500</v>
      </c>
      <c r="FD41" s="176">
        <v>1750</v>
      </c>
      <c r="FE41" s="4">
        <v>2000</v>
      </c>
      <c r="FF41" s="176">
        <v>2250</v>
      </c>
      <c r="FG41" s="4">
        <v>2500</v>
      </c>
      <c r="FH41" s="4"/>
      <c r="FI41" s="4"/>
      <c r="FJ41" s="28"/>
      <c r="FK41" s="20">
        <v>15</v>
      </c>
      <c r="FL41" s="20">
        <v>20</v>
      </c>
      <c r="FM41" s="28"/>
      <c r="FN41" s="20">
        <v>100</v>
      </c>
      <c r="FO41" s="20">
        <v>200</v>
      </c>
      <c r="FP41" s="20">
        <v>500</v>
      </c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57"/>
      <c r="GB41" s="57"/>
      <c r="GC41" s="77"/>
      <c r="GD41" s="28"/>
      <c r="GE41" s="31"/>
      <c r="GG41" s="27"/>
      <c r="GH41" s="28"/>
      <c r="GI41" s="89"/>
      <c r="GJ41" s="4">
        <v>500</v>
      </c>
      <c r="GK41" s="4">
        <v>1000</v>
      </c>
      <c r="GL41" s="4">
        <v>1500</v>
      </c>
      <c r="GM41" s="4">
        <v>2000</v>
      </c>
      <c r="GN41" s="4">
        <v>2500</v>
      </c>
      <c r="GO41" s="4">
        <v>3000</v>
      </c>
      <c r="GP41" s="4">
        <v>3500</v>
      </c>
      <c r="GQ41" s="4">
        <v>4000</v>
      </c>
      <c r="GR41" s="112">
        <v>4500</v>
      </c>
      <c r="GS41" s="4">
        <v>5000</v>
      </c>
      <c r="GT41" s="4">
        <v>6000</v>
      </c>
      <c r="GU41" s="4">
        <v>6500</v>
      </c>
      <c r="GV41" s="4">
        <v>7000</v>
      </c>
      <c r="GW41" s="112">
        <v>7500</v>
      </c>
      <c r="GX41" s="112">
        <v>8000</v>
      </c>
      <c r="GY41" s="114">
        <v>10000</v>
      </c>
      <c r="GZ41" s="89"/>
      <c r="HA41" s="4">
        <v>200</v>
      </c>
      <c r="HB41" s="176">
        <v>250</v>
      </c>
      <c r="HC41" s="4">
        <v>500</v>
      </c>
      <c r="HD41" s="4">
        <v>750</v>
      </c>
      <c r="HE41" s="4">
        <v>1000</v>
      </c>
      <c r="HF41" s="176">
        <v>1250</v>
      </c>
      <c r="HG41" s="4">
        <v>1500</v>
      </c>
      <c r="HH41" s="176">
        <v>1750</v>
      </c>
      <c r="HI41" s="4">
        <v>2000</v>
      </c>
      <c r="HJ41" s="176">
        <v>2250</v>
      </c>
      <c r="HK41" s="4">
        <v>2500</v>
      </c>
      <c r="HL41" s="4"/>
      <c r="HM41" s="4"/>
      <c r="HN41" s="28"/>
      <c r="HO41" s="20">
        <v>15</v>
      </c>
      <c r="HP41" s="20">
        <v>20</v>
      </c>
      <c r="HQ41" s="28"/>
      <c r="HR41" s="20">
        <v>100</v>
      </c>
      <c r="HS41" s="20">
        <v>200</v>
      </c>
      <c r="HT41" s="20">
        <v>500</v>
      </c>
      <c r="HU41" s="28"/>
      <c r="HV41" s="28"/>
      <c r="HW41" s="28"/>
      <c r="HX41" s="28"/>
      <c r="HY41" s="2" t="s">
        <v>89</v>
      </c>
      <c r="HZ41" s="17" t="s">
        <v>130</v>
      </c>
      <c r="IB41" s="28"/>
      <c r="IC41" s="28"/>
      <c r="ID41" s="89"/>
      <c r="IE41" s="28"/>
      <c r="IF41" s="57"/>
      <c r="IG41" s="57"/>
      <c r="IH41" s="77"/>
      <c r="II41" s="28"/>
      <c r="IJ41" s="31"/>
    </row>
    <row r="42" spans="1:244" ht="12.75">
      <c r="A42" t="s">
        <v>12</v>
      </c>
      <c r="C42" s="173">
        <f>IF($M$9="FL",HLOOKUP($K$15,$X$51:$AM$55,4,TRUE),IF($M$9="CO",HLOOKUP($K$15,$CA$51:$CP$55,4,TRUE),IF($M$9="IN",HLOOKUP($K$15,$CA$51:$CP$55,4,TRUE),IF($M$9="TX",HLOOKUP($K$15,$EF$51:$EU$55,4,TRUE),HLOOKUP($K$15,$GJ$51:$GY$55,4,TRUE)))))</f>
        <v>85.6</v>
      </c>
      <c r="D42" s="173">
        <f>IF($K$16="",0,IF($M$9="FL",HLOOKUP($K$16,$AO$51:$BA$55,4,TRUE),IF($M$9="CO",HLOOKUP($K$16,$CR$51:$DD$55,4,TRUE),IF($M$9="IN",HLOOKUP($K$16,$CR$51:$DD$55,4,TRUE),IF($M$9="TX",HLOOKUP($K$16,$EW$51:$FI$55,4,TRUE),HLOOKUP($K$16,$HA$51:$HM$55,4,TRUE))))))</f>
        <v>79.98</v>
      </c>
      <c r="E42" s="173">
        <f>IF($K$17="",0,IF($M$9="FL",HLOOKUP($K$17,$BC$51:$BD$55,4,TRUE),IF($M$9="CO",HLOOKUP($K$17,$DF$51:$DG$55,4,TRUE),IF($M$9="IN",HLOOKUP($K$17,$DF$51:$DG$55,4,TRUE),IF($M$9="TX",HLOOKUP($K$17,$FK$51:$FL$55,4,TRUE),HLOOKUP($K$17,$HO$51:$HP$55,4,TRUE))))))</f>
        <v>14</v>
      </c>
      <c r="F42" s="98">
        <f>IF($K$18="",0,IF($M$9="FL",HLOOKUP($K$18,$BF$51:$BH$55,4,TRUE),IF($M$9="CO",HLOOKUP($K$18,$DI$51:$DK$55,4,TRUE),IF($M$9="IN",HLOOKUP($K$18,$DI$86:$DK$90,4,TRUE),IF($M$9="TX",HLOOKUP($K$18,$FN$51:$FP$55,4,TRUE),HLOOKUP($K$18,$HR$51:$HT$55,4,TRUE))))))</f>
        <v>23.5</v>
      </c>
      <c r="G42" s="98">
        <f>IF($K$19="",0,IF($M$9="FL",HLOOKUP($K$19,$BJ$31:$BK$35,4,TRUE),IF($M$9="CO",HLOOKUP($K$19,$DM$31:$DN$35,4,TRUE),IF($M$9="IN",HLOOKUP($K$19,$DM$31:$DN$35,2,TRUE),IF($M$9="TX",HLOOKUP($K$19,$FR$31:$FS$35,4,TRUE),HLOOKUP($K$19,$HV$31:$HW$35,4,TRUE))))))</f>
        <v>0</v>
      </c>
      <c r="H42" s="98">
        <f>IF($K$20="",0,IF($M$9="FL",HLOOKUP($K$20,$BM$31:$BP$35,4,TRUE),IF($M$9="CO",HLOOKUP($K$20,$DP$31:$DS$35,4,TRUE),IF($M$9="IN",HLOOKUP($K$20,$DP$31:$DS$35,4,TRUE),IF($M$9="TX",HLOOKUP($K$20,$FU$31:$FX$35,4,TRUE),HLOOKUP($K$20,$HY$31:$IB$35,4,TRUE))))))</f>
        <v>5.5</v>
      </c>
      <c r="J42" t="s">
        <v>55</v>
      </c>
      <c r="K42" s="24"/>
      <c r="L42" s="38">
        <f>IF(AND($K$16&lt;=($K$15),AND($K$16&lt;=2500),OR($K$17=15,$K$17=20,$K$17=""),OR($K$18=100,$K$18=200,$K$18=500,$K$18=""),OR($K$21="GENERIC",$K$21="GENERIC/BRAND",$K$21=""),OR($K$22=5000,$K$22=10000,$K$22=15000,$K$22=20000,$K$22=""),OR($K$46&lt;5000)),(C42+D42+E42+F42+G42+H42),"ERROR")</f>
        <v>208.57999999999998</v>
      </c>
      <c r="M42" s="38">
        <f>SUM(L42*K42)</f>
        <v>0</v>
      </c>
      <c r="N42" s="38"/>
      <c r="O42" s="76"/>
      <c r="P42" s="77"/>
      <c r="Q42" s="77">
        <f>IF($L$13&gt;0,(($BR$42*((100-$L$12)/100))+((BR44-$BR$42)*((100-$L$13)/100))),(($BR$42*((100-$L$12)/100))+((BR44-$BR$42))))</f>
        <v>104.29</v>
      </c>
      <c r="R42" s="58"/>
      <c r="U42" s="5" t="s">
        <v>0</v>
      </c>
      <c r="V42" s="6"/>
      <c r="W42" s="89"/>
      <c r="X42" s="7">
        <v>4.37</v>
      </c>
      <c r="Y42" s="7">
        <v>8.55</v>
      </c>
      <c r="Z42" s="7">
        <v>12.49</v>
      </c>
      <c r="AA42" s="7">
        <v>16.25</v>
      </c>
      <c r="AB42" s="7">
        <v>19.69</v>
      </c>
      <c r="AC42" s="7">
        <v>23.14</v>
      </c>
      <c r="AD42" s="7">
        <v>26.4</v>
      </c>
      <c r="AE42" s="7">
        <v>29.54</v>
      </c>
      <c r="AF42" s="113">
        <v>32.62</v>
      </c>
      <c r="AG42" s="7">
        <v>35.69</v>
      </c>
      <c r="AH42" s="7">
        <v>41.48</v>
      </c>
      <c r="AI42" s="7">
        <v>44.25</v>
      </c>
      <c r="AJ42" s="7">
        <v>47.02</v>
      </c>
      <c r="AK42" s="152">
        <v>49.69</v>
      </c>
      <c r="AL42" s="113">
        <v>52.37</v>
      </c>
      <c r="AM42" s="113">
        <v>62.65</v>
      </c>
      <c r="AN42" s="89"/>
      <c r="AO42" s="7">
        <v>5</v>
      </c>
      <c r="AP42" s="7">
        <v>5.96</v>
      </c>
      <c r="AQ42" s="7">
        <v>10.71</v>
      </c>
      <c r="AR42" s="7">
        <v>12.85</v>
      </c>
      <c r="AS42" s="7">
        <v>14.16</v>
      </c>
      <c r="AT42" s="7">
        <v>16</v>
      </c>
      <c r="AU42" s="7">
        <v>17.84</v>
      </c>
      <c r="AV42" s="7">
        <v>19.11</v>
      </c>
      <c r="AW42" s="7">
        <v>20.39</v>
      </c>
      <c r="AX42" s="7">
        <v>21.41</v>
      </c>
      <c r="AY42" s="7">
        <v>22.42</v>
      </c>
      <c r="AZ42" s="7"/>
      <c r="BA42" s="7"/>
      <c r="BB42" s="28"/>
      <c r="BC42" s="7">
        <v>5</v>
      </c>
      <c r="BD42" s="7">
        <v>7.67</v>
      </c>
      <c r="BE42" s="28"/>
      <c r="BF42" s="7">
        <v>2.07</v>
      </c>
      <c r="BG42" s="7">
        <v>3.89</v>
      </c>
      <c r="BH42" s="7">
        <v>8.73</v>
      </c>
      <c r="BI42" s="28"/>
      <c r="BJ42" s="28"/>
      <c r="BK42" s="28"/>
      <c r="BL42" s="28"/>
      <c r="BM42" s="28"/>
      <c r="BN42" s="28"/>
      <c r="BO42" s="28"/>
      <c r="BP42" s="28"/>
      <c r="BQ42" s="92"/>
      <c r="BR42" s="186">
        <f>((L40*12)/$Q$26)</f>
        <v>63.03000000000001</v>
      </c>
      <c r="BS42" s="42"/>
      <c r="BT42" s="77"/>
      <c r="BU42" s="28"/>
      <c r="BV42" s="31"/>
      <c r="BX42" s="5" t="s">
        <v>0</v>
      </c>
      <c r="BY42" s="6"/>
      <c r="BZ42" s="89"/>
      <c r="CA42" s="7">
        <v>4.73</v>
      </c>
      <c r="CB42" s="7">
        <v>9.27</v>
      </c>
      <c r="CC42" s="7">
        <v>13.53</v>
      </c>
      <c r="CD42" s="7">
        <v>17.6</v>
      </c>
      <c r="CE42" s="7">
        <v>21.33</v>
      </c>
      <c r="CF42" s="7">
        <v>25.07</v>
      </c>
      <c r="CG42" s="7">
        <v>28.6</v>
      </c>
      <c r="CH42" s="7">
        <v>32</v>
      </c>
      <c r="CI42" s="113">
        <v>35.33</v>
      </c>
      <c r="CJ42" s="7">
        <v>38.67</v>
      </c>
      <c r="CK42" s="7">
        <v>44.93</v>
      </c>
      <c r="CL42" s="7">
        <v>47.93</v>
      </c>
      <c r="CM42" s="7">
        <v>50.93</v>
      </c>
      <c r="CN42" s="152">
        <v>53.83</v>
      </c>
      <c r="CO42" s="113">
        <v>56.73</v>
      </c>
      <c r="CP42" s="113">
        <v>67.87</v>
      </c>
      <c r="CQ42" s="89"/>
      <c r="CR42" s="7">
        <v>5.42</v>
      </c>
      <c r="CS42" s="7">
        <v>6.45</v>
      </c>
      <c r="CT42" s="7">
        <v>11.61</v>
      </c>
      <c r="CU42" s="7">
        <v>13.92</v>
      </c>
      <c r="CV42" s="7">
        <v>15.34</v>
      </c>
      <c r="CW42" s="7">
        <v>17.33</v>
      </c>
      <c r="CX42" s="7">
        <v>19.33</v>
      </c>
      <c r="CY42" s="7">
        <v>20.71</v>
      </c>
      <c r="CZ42" s="7">
        <v>22.09</v>
      </c>
      <c r="DA42" s="7">
        <v>23.19</v>
      </c>
      <c r="DB42" s="7">
        <v>24.29</v>
      </c>
      <c r="DC42" s="7"/>
      <c r="DD42" s="7"/>
      <c r="DE42" s="28"/>
      <c r="DF42" s="7">
        <v>5.41</v>
      </c>
      <c r="DG42" s="7">
        <v>8.31</v>
      </c>
      <c r="DH42" s="28"/>
      <c r="DI42" s="7">
        <v>2.24</v>
      </c>
      <c r="DJ42" s="7">
        <v>4.21</v>
      </c>
      <c r="DK42" s="7">
        <v>9.46</v>
      </c>
      <c r="DL42" s="28"/>
      <c r="DM42" s="28"/>
      <c r="DN42" s="28"/>
      <c r="DO42" s="28"/>
      <c r="DP42" s="28"/>
      <c r="DQ42" s="28"/>
      <c r="DR42" s="28"/>
      <c r="DS42" s="28"/>
      <c r="DT42" s="28"/>
      <c r="DU42" s="89"/>
      <c r="DV42" s="92" t="e">
        <f>#REF!</f>
        <v>#REF!</v>
      </c>
      <c r="DW42" s="42" t="e">
        <f>((#REF!*$BQ$27)/$BR$27)</f>
        <v>#REF!</v>
      </c>
      <c r="DX42" s="42" t="e">
        <f>((#REF!*$BQ$27)/$BS$27)</f>
        <v>#REF!</v>
      </c>
      <c r="DY42" s="77" t="e">
        <f>((#REF!*$BQ$27)/$BT$27)</f>
        <v>#REF!</v>
      </c>
      <c r="DZ42" s="28"/>
      <c r="EA42" s="31"/>
      <c r="EC42" s="5" t="s">
        <v>0</v>
      </c>
      <c r="ED42" s="6"/>
      <c r="EE42" s="89"/>
      <c r="EF42" s="7">
        <v>6.31</v>
      </c>
      <c r="EG42" s="7">
        <v>11.12</v>
      </c>
      <c r="EH42" s="7">
        <v>14.2</v>
      </c>
      <c r="EI42" s="7">
        <v>15.85</v>
      </c>
      <c r="EJ42" s="7">
        <v>20.81</v>
      </c>
      <c r="EK42" s="7">
        <v>25.77</v>
      </c>
      <c r="EL42" s="7">
        <v>29.22</v>
      </c>
      <c r="EM42" s="7">
        <v>32.54</v>
      </c>
      <c r="EN42" s="113">
        <v>35.5</v>
      </c>
      <c r="EO42" s="7">
        <v>38.47</v>
      </c>
      <c r="EP42" s="7">
        <v>44.41</v>
      </c>
      <c r="EQ42" s="7">
        <v>47</v>
      </c>
      <c r="ER42" s="7">
        <v>49.59</v>
      </c>
      <c r="ES42" s="113">
        <v>52.04</v>
      </c>
      <c r="ET42" s="113">
        <v>54.48</v>
      </c>
      <c r="EU42" s="113">
        <v>62.65</v>
      </c>
      <c r="EV42" s="89"/>
      <c r="EW42" s="7">
        <v>6.21</v>
      </c>
      <c r="EX42" s="12">
        <v>7.39</v>
      </c>
      <c r="EY42" s="7">
        <v>13.29</v>
      </c>
      <c r="EZ42" s="7">
        <v>15.95</v>
      </c>
      <c r="FA42" s="7">
        <v>17.57</v>
      </c>
      <c r="FB42" s="12">
        <v>20.29</v>
      </c>
      <c r="FC42" s="7">
        <v>22.14</v>
      </c>
      <c r="FD42" s="12">
        <v>23.72</v>
      </c>
      <c r="FE42" s="7">
        <v>25.3</v>
      </c>
      <c r="FF42" s="12">
        <v>26.56</v>
      </c>
      <c r="FG42" s="7">
        <v>27.82</v>
      </c>
      <c r="FH42" s="7"/>
      <c r="FI42" s="7"/>
      <c r="FJ42" s="28"/>
      <c r="FK42" s="7">
        <v>6.2</v>
      </c>
      <c r="FL42" s="7">
        <v>9.52</v>
      </c>
      <c r="FM42" s="28"/>
      <c r="FN42" s="7">
        <v>2.57</v>
      </c>
      <c r="FO42" s="7">
        <v>4.82</v>
      </c>
      <c r="FP42" s="7">
        <v>10.83</v>
      </c>
      <c r="FQ42" s="28"/>
      <c r="FR42" s="28"/>
      <c r="FS42" s="28"/>
      <c r="FT42" s="28"/>
      <c r="FU42" s="28"/>
      <c r="FV42" s="28"/>
      <c r="FW42" s="28"/>
      <c r="FX42" s="28"/>
      <c r="FY42" s="28"/>
      <c r="FZ42" s="92">
        <f>DT40</f>
        <v>0</v>
      </c>
      <c r="GA42" s="42">
        <f>((DT40*$BQ$27)/$BR$27)</f>
        <v>0</v>
      </c>
      <c r="GB42" s="42" t="e">
        <f>((DT40*$BQ$27)/$BS$27)</f>
        <v>#DIV/0!</v>
      </c>
      <c r="GC42" s="77" t="e">
        <f>((DT40*$BQ$27)/$BT$27)</f>
        <v>#DIV/0!</v>
      </c>
      <c r="GD42" s="28"/>
      <c r="GE42" s="31"/>
      <c r="GG42" s="5" t="s">
        <v>0</v>
      </c>
      <c r="GH42" s="6"/>
      <c r="GI42" s="89"/>
      <c r="GJ42" s="7">
        <v>5.42</v>
      </c>
      <c r="GK42" s="7">
        <v>10.61</v>
      </c>
      <c r="GL42" s="7">
        <v>15.5</v>
      </c>
      <c r="GM42" s="7">
        <v>20.16</v>
      </c>
      <c r="GN42" s="7">
        <v>24.44</v>
      </c>
      <c r="GO42" s="7">
        <v>28.71</v>
      </c>
      <c r="GP42" s="7">
        <v>32.76</v>
      </c>
      <c r="GQ42" s="7">
        <v>36.65</v>
      </c>
      <c r="GR42" s="113">
        <v>40.47</v>
      </c>
      <c r="GS42" s="7">
        <v>44.29</v>
      </c>
      <c r="GT42" s="7">
        <v>51.47</v>
      </c>
      <c r="GU42" s="7">
        <v>54.91</v>
      </c>
      <c r="GV42" s="7">
        <v>58.34</v>
      </c>
      <c r="GW42" s="113">
        <v>61.66</v>
      </c>
      <c r="GX42" s="113">
        <v>64.99</v>
      </c>
      <c r="GY42" s="113">
        <v>77.74</v>
      </c>
      <c r="GZ42" s="89"/>
      <c r="HA42" s="7">
        <v>6.21</v>
      </c>
      <c r="HB42" s="12">
        <v>7.39</v>
      </c>
      <c r="HC42" s="7">
        <v>13.29</v>
      </c>
      <c r="HD42" s="7">
        <v>15.95</v>
      </c>
      <c r="HE42" s="7">
        <v>17.57</v>
      </c>
      <c r="HF42" s="12">
        <v>20.29</v>
      </c>
      <c r="HG42" s="7">
        <v>22.14</v>
      </c>
      <c r="HH42" s="12">
        <v>23.72</v>
      </c>
      <c r="HI42" s="7">
        <v>25.3</v>
      </c>
      <c r="HJ42" s="12">
        <v>26.56</v>
      </c>
      <c r="HK42" s="7">
        <v>27.82</v>
      </c>
      <c r="HL42" s="7"/>
      <c r="HM42" s="7"/>
      <c r="HN42" s="28"/>
      <c r="HO42" s="7">
        <v>6.2</v>
      </c>
      <c r="HP42" s="7">
        <v>9.52</v>
      </c>
      <c r="HQ42" s="28"/>
      <c r="HR42" s="7">
        <v>2.57</v>
      </c>
      <c r="HS42" s="7">
        <v>4.82</v>
      </c>
      <c r="HT42" s="7">
        <v>10.83</v>
      </c>
      <c r="HU42" s="28"/>
      <c r="HV42" s="28"/>
      <c r="HW42" s="28"/>
      <c r="HX42" s="28"/>
      <c r="HY42" s="89" t="s">
        <v>63</v>
      </c>
      <c r="HZ42" s="28" t="s">
        <v>129</v>
      </c>
      <c r="IB42" s="28"/>
      <c r="IC42" s="28"/>
      <c r="ID42" s="89"/>
      <c r="IE42" s="92">
        <f>FY40</f>
        <v>0</v>
      </c>
      <c r="IF42" s="42">
        <f>((FY40*$BQ$27)/$BR$27)</f>
        <v>0</v>
      </c>
      <c r="IG42" s="42" t="e">
        <f>((FY40*$BQ$27)/$BS$27)</f>
        <v>#DIV/0!</v>
      </c>
      <c r="IH42" s="77" t="e">
        <f>((FY40*$BQ$27)/$BT$27)</f>
        <v>#DIV/0!</v>
      </c>
      <c r="II42" s="28"/>
      <c r="IJ42" s="31"/>
    </row>
    <row r="43" spans="1:244" ht="12.75">
      <c r="A43" t="s">
        <v>13</v>
      </c>
      <c r="C43" s="173">
        <f>IF($M$9="FL",HLOOKUP($K$15,$X$51:$AM$55,5,TRUE),IF($M$9="CO",HLOOKUP($K$15,$CA$51:$CP$55,5,TRUE),IF($M$9="IN",HLOOKUP($K$15,$CA$51:$CP$55,5,TRUE),IF($M$9="TX",HLOOKUP($K$15,$EF$51:$EU$55,5,TRUE),HLOOKUP($K$15,$GJ$51:$GY$55,5,TRUE)))))</f>
        <v>127.2</v>
      </c>
      <c r="D43" s="173">
        <f>IF($K$16="",0,IF($M$9="FL",HLOOKUP($K$16,$AO$51:$BA$55,5,TRUE),IF($M$9="CO",HLOOKUP($K$16,$CR$51:$DD$55,5,TRUE),IF($M$9="IN",HLOOKUP($K$16,$CR$51:$DD$55,5,TRUE),IF($M$9="TX",HLOOKUP($K$16,$EW$51:$FI$55,5,TRUE),HLOOKUP($K$16,$HA$51:$HM$55,5,TRUE))))))</f>
        <v>119.87</v>
      </c>
      <c r="E43" s="173">
        <f>IF($K$17="",0,IF($M$9="FL",HLOOKUP($K$17,$BC$51:$BD$55,5,TRUE),IF($M$9="CO",HLOOKUP($K$17,$DF$51:$DG$55,5,TRUE),IF($M$9="IN",HLOOKUP($K$17,$DF$51:$DG$55,5,TRUE),IF($M$9="TX",HLOOKUP($K$17,$FK$51:$FL$55,5,TRUE),HLOOKUP($K$17,$HO$51:$HP$55,5,TRUE))))))</f>
        <v>15.17</v>
      </c>
      <c r="F43" s="98">
        <f>IF($K$18="",0,IF($M$9="FL",HLOOKUP($K$18,$BF$51:$BH$55,5,TRUE),IF($M$9="CO",HLOOKUP($K$18,$DI$51:$DK$55,5,TRUE),IF($M$9="IN",HLOOKUP($K$18,$DI$86:$DK$90,5,TRUE),IF($M$9="TX",HLOOKUP($K$18,$FN$51:$FP$55,5,TRUE),HLOOKUP($K$18,$HR$51:$HT$55,5,TRUE))))))</f>
        <v>25.08</v>
      </c>
      <c r="G43" s="98">
        <f>IF($K$19="",0,IF($M$9="FL",HLOOKUP($K$19,$BJ$31:$BK$35,5,TRUE),IF($M$9="CO",HLOOKUP($K$19,$DM$31:$DN$35,5,TRUE),IF($M$9="IN",HLOOKUP($K$19,$DM$31:$DN$35,5,TRUE),IF($M$9="TX",HLOOKUP($K$19,$FR$31:$FS$35,5,TRUE),HLOOKUP($K$19,$HV$31:$HW$35,5,TRUE))))))</f>
        <v>0</v>
      </c>
      <c r="H43" s="98">
        <f>IF($K$20="",0,IF($M$9="FL",HLOOKUP($K$20,$BM$31:$BP$35,5,TRUE),IF($M$9="CO",HLOOKUP($K$20,$DP$31:$DS$35,5,TRUE),IF($M$9="IN",HLOOKUP($K$20,$DP$31:$DS$35,5,TRUE),IF($M$9="TX",HLOOKUP($K$20,$FU$31:$FX$35,5,TRUE),HLOOKUP($K$20,$HY$31:$IB$35,5,TRUE))))))</f>
        <v>7.92</v>
      </c>
      <c r="J43" t="s">
        <v>54</v>
      </c>
      <c r="K43" s="24"/>
      <c r="L43" s="38">
        <f>IF(AND($K$16&lt;=($K$15),AND($K$16&lt;=2500),OR($K$17=15,$K$17=20,$K$17=""),OR($K$18=100,$K$18=200,$K$18=500,$K$18=""),OR($K$21="GENERIC",$K$21="GENERIC/BRAND",$K$21=""),OR($K$22=5000,$K$22=10000,$K$22=15000,$K$22=20000,$K$22=""),OR($K$46&lt;5000)),(C43+D43+E43+F43+G43+H43),"ERROR")</f>
        <v>295.24</v>
      </c>
      <c r="M43" s="38">
        <f>SUM(L43*K43)</f>
        <v>0</v>
      </c>
      <c r="N43" s="38"/>
      <c r="O43" s="78"/>
      <c r="P43" s="79"/>
      <c r="Q43" s="79">
        <f>IF($L$13&gt;0,(($BR$42*((100-$L$12)/100))+((BR45-$BR$42)*((100-$L$13)/100))),(($BR$42*((100-$L$12)/100))+((BR45-$BR$42))))</f>
        <v>147.62</v>
      </c>
      <c r="R43" s="80"/>
      <c r="U43" s="8" t="s">
        <v>1</v>
      </c>
      <c r="V43" s="9"/>
      <c r="W43" s="89"/>
      <c r="X43" s="7">
        <v>7.88</v>
      </c>
      <c r="Y43" s="7">
        <v>15.38</v>
      </c>
      <c r="Z43" s="7">
        <v>22.46</v>
      </c>
      <c r="AA43" s="7">
        <v>29.23</v>
      </c>
      <c r="AB43" s="7">
        <v>35.45</v>
      </c>
      <c r="AC43" s="7">
        <v>41.66</v>
      </c>
      <c r="AD43" s="7">
        <v>47.51</v>
      </c>
      <c r="AE43" s="7">
        <v>53.17</v>
      </c>
      <c r="AF43" s="113">
        <v>58.71</v>
      </c>
      <c r="AG43" s="7">
        <v>64.25</v>
      </c>
      <c r="AH43" s="7">
        <v>74.65</v>
      </c>
      <c r="AI43" s="7">
        <v>79.63</v>
      </c>
      <c r="AJ43" s="7">
        <v>84.62</v>
      </c>
      <c r="AK43" s="152">
        <v>89.45</v>
      </c>
      <c r="AL43" s="113">
        <v>94.28</v>
      </c>
      <c r="AM43" s="113">
        <v>112.74</v>
      </c>
      <c r="AN43" s="89"/>
      <c r="AO43" s="7">
        <v>8.98</v>
      </c>
      <c r="AP43" s="7">
        <v>10.7</v>
      </c>
      <c r="AQ43" s="7">
        <v>19.28</v>
      </c>
      <c r="AR43" s="7">
        <v>23.11</v>
      </c>
      <c r="AS43" s="7">
        <v>25.48</v>
      </c>
      <c r="AT43" s="7">
        <v>28.8</v>
      </c>
      <c r="AU43" s="7">
        <v>32.11</v>
      </c>
      <c r="AV43" s="7">
        <v>34.4</v>
      </c>
      <c r="AW43" s="7">
        <v>36.7</v>
      </c>
      <c r="AX43" s="7">
        <v>38.53</v>
      </c>
      <c r="AY43" s="7">
        <v>40.36</v>
      </c>
      <c r="AZ43" s="7"/>
      <c r="BA43" s="7"/>
      <c r="BB43" s="28"/>
      <c r="BC43" s="7">
        <v>7.32</v>
      </c>
      <c r="BD43" s="7">
        <v>12.16</v>
      </c>
      <c r="BE43" s="28"/>
      <c r="BF43" s="7">
        <v>3.28</v>
      </c>
      <c r="BG43" s="7">
        <v>6.26</v>
      </c>
      <c r="BH43" s="7">
        <v>14.03</v>
      </c>
      <c r="BI43" s="28"/>
      <c r="BJ43" s="28"/>
      <c r="BK43" s="28"/>
      <c r="BL43" s="28"/>
      <c r="BM43" s="28"/>
      <c r="BN43" s="28"/>
      <c r="BO43" s="28"/>
      <c r="BP43" s="28"/>
      <c r="BQ43" s="92"/>
      <c r="BR43" s="186">
        <f>((L41*12)/$Q$26)</f>
        <v>107.40500000000002</v>
      </c>
      <c r="BS43" s="42"/>
      <c r="BT43" s="77"/>
      <c r="BU43" s="28"/>
      <c r="BV43" s="31"/>
      <c r="BX43" s="8" t="s">
        <v>1</v>
      </c>
      <c r="BY43" s="9"/>
      <c r="BZ43" s="89"/>
      <c r="CA43" s="7">
        <v>8.53</v>
      </c>
      <c r="CB43" s="7">
        <v>16.67</v>
      </c>
      <c r="CC43" s="7">
        <v>24.33</v>
      </c>
      <c r="CD43" s="7">
        <v>31.67</v>
      </c>
      <c r="CE43" s="7">
        <v>38.4</v>
      </c>
      <c r="CF43" s="7">
        <v>45.13</v>
      </c>
      <c r="CG43" s="7">
        <v>51.47</v>
      </c>
      <c r="CH43" s="7">
        <v>57.6</v>
      </c>
      <c r="CI43" s="113">
        <v>63.6</v>
      </c>
      <c r="CJ43" s="7">
        <v>69.6</v>
      </c>
      <c r="CK43" s="7">
        <v>80.87</v>
      </c>
      <c r="CL43" s="7">
        <v>86.27</v>
      </c>
      <c r="CM43" s="7">
        <v>91.67</v>
      </c>
      <c r="CN43" s="152">
        <v>96.9</v>
      </c>
      <c r="CO43" s="113">
        <v>102.13</v>
      </c>
      <c r="CP43" s="113">
        <v>122.13</v>
      </c>
      <c r="CQ43" s="89"/>
      <c r="CR43" s="7">
        <v>9.73</v>
      </c>
      <c r="CS43" s="7">
        <v>11.59</v>
      </c>
      <c r="CT43" s="7">
        <v>20.88</v>
      </c>
      <c r="CU43" s="7">
        <v>25.04</v>
      </c>
      <c r="CV43" s="7">
        <v>27.61</v>
      </c>
      <c r="CW43" s="7">
        <v>31.2</v>
      </c>
      <c r="CX43" s="7">
        <v>34.79</v>
      </c>
      <c r="CY43" s="7">
        <v>37.27</v>
      </c>
      <c r="CZ43" s="7">
        <v>39.75</v>
      </c>
      <c r="DA43" s="7">
        <v>41.74</v>
      </c>
      <c r="DB43" s="7">
        <v>43.72</v>
      </c>
      <c r="DC43" s="7"/>
      <c r="DD43" s="7"/>
      <c r="DE43" s="28"/>
      <c r="DF43" s="7">
        <v>7.93</v>
      </c>
      <c r="DG43" s="7">
        <v>13.17</v>
      </c>
      <c r="DH43" s="28"/>
      <c r="DI43" s="7">
        <v>3.55</v>
      </c>
      <c r="DJ43" s="7">
        <v>6.78</v>
      </c>
      <c r="DK43" s="7">
        <v>15.2</v>
      </c>
      <c r="DL43" s="28"/>
      <c r="DM43" s="28"/>
      <c r="DN43" s="28"/>
      <c r="DO43" s="28"/>
      <c r="DP43" s="28"/>
      <c r="DQ43" s="28"/>
      <c r="DR43" s="28"/>
      <c r="DS43" s="28"/>
      <c r="DT43" s="28"/>
      <c r="DU43" s="89"/>
      <c r="DV43" s="92" t="e">
        <f>#REF!</f>
        <v>#REF!</v>
      </c>
      <c r="DW43" s="42" t="e">
        <f>((#REF!*$BQ$27)/$BR$27)</f>
        <v>#REF!</v>
      </c>
      <c r="DX43" s="42" t="e">
        <f>((#REF!*$BQ$27)/$BS$27)</f>
        <v>#REF!</v>
      </c>
      <c r="DY43" s="77" t="e">
        <f>((#REF!*$BQ$27)/$BT$27)</f>
        <v>#REF!</v>
      </c>
      <c r="DZ43" s="28"/>
      <c r="EA43" s="31"/>
      <c r="EC43" s="8" t="s">
        <v>1</v>
      </c>
      <c r="ED43" s="9"/>
      <c r="EE43" s="89"/>
      <c r="EF43" s="7">
        <v>11.35</v>
      </c>
      <c r="EG43" s="7">
        <v>19.95</v>
      </c>
      <c r="EH43" s="7">
        <v>25.55</v>
      </c>
      <c r="EI43" s="7">
        <v>28.55</v>
      </c>
      <c r="EJ43" s="7">
        <v>37.48</v>
      </c>
      <c r="EK43" s="7">
        <v>46.4</v>
      </c>
      <c r="EL43" s="7">
        <v>52.58</v>
      </c>
      <c r="EM43" s="7">
        <v>58.57</v>
      </c>
      <c r="EN43" s="113">
        <v>63.91</v>
      </c>
      <c r="EO43" s="7">
        <v>69.24</v>
      </c>
      <c r="EP43" s="7">
        <v>79.95</v>
      </c>
      <c r="EQ43" s="7">
        <v>84.61</v>
      </c>
      <c r="ER43" s="7">
        <v>89.27</v>
      </c>
      <c r="ES43" s="113">
        <v>93.66</v>
      </c>
      <c r="ET43" s="113">
        <v>98.06</v>
      </c>
      <c r="EU43" s="113">
        <v>112.77</v>
      </c>
      <c r="EV43" s="89"/>
      <c r="EW43" s="7">
        <v>11.15</v>
      </c>
      <c r="EX43" s="12">
        <v>13.28</v>
      </c>
      <c r="EY43" s="7">
        <v>23.92</v>
      </c>
      <c r="EZ43" s="7">
        <v>28.68</v>
      </c>
      <c r="FA43" s="7">
        <v>31.62</v>
      </c>
      <c r="FB43" s="12">
        <v>36.53</v>
      </c>
      <c r="FC43" s="7">
        <v>39.85</v>
      </c>
      <c r="FD43" s="12">
        <v>42.69</v>
      </c>
      <c r="FE43" s="7">
        <v>45.54</v>
      </c>
      <c r="FF43" s="12">
        <v>47.82</v>
      </c>
      <c r="FG43" s="7">
        <v>50.08</v>
      </c>
      <c r="FH43" s="7"/>
      <c r="FI43" s="7"/>
      <c r="FJ43" s="28"/>
      <c r="FK43" s="7">
        <v>9.08</v>
      </c>
      <c r="FL43" s="7">
        <v>15.09</v>
      </c>
      <c r="FM43" s="28"/>
      <c r="FN43" s="7">
        <v>4.07</v>
      </c>
      <c r="FO43" s="7">
        <v>7.76</v>
      </c>
      <c r="FP43" s="7">
        <v>17.41</v>
      </c>
      <c r="FQ43" s="28"/>
      <c r="FR43" s="28"/>
      <c r="FS43" s="28"/>
      <c r="FT43" s="28"/>
      <c r="FU43" s="28"/>
      <c r="FV43" s="28"/>
      <c r="FW43" s="28"/>
      <c r="FX43" s="28"/>
      <c r="FY43" s="28"/>
      <c r="FZ43" s="92">
        <f>DT41</f>
        <v>0</v>
      </c>
      <c r="GA43" s="42">
        <f>((DT41*$BQ$27)/$BR$27)</f>
        <v>0</v>
      </c>
      <c r="GB43" s="42" t="e">
        <f>((DT41*$BQ$27)/$BS$27)</f>
        <v>#DIV/0!</v>
      </c>
      <c r="GC43" s="77" t="e">
        <f>((DT41*$BQ$27)/$BT$27)</f>
        <v>#DIV/0!</v>
      </c>
      <c r="GD43" s="28"/>
      <c r="GE43" s="31"/>
      <c r="GG43" s="8" t="s">
        <v>1</v>
      </c>
      <c r="GH43" s="9"/>
      <c r="GI43" s="89"/>
      <c r="GJ43" s="7">
        <v>9.77</v>
      </c>
      <c r="GK43" s="7">
        <v>19.09</v>
      </c>
      <c r="GL43" s="7">
        <v>27.87</v>
      </c>
      <c r="GM43" s="7">
        <v>36.27</v>
      </c>
      <c r="GN43" s="7">
        <v>43.99</v>
      </c>
      <c r="GO43" s="7">
        <v>51.7</v>
      </c>
      <c r="GP43" s="7">
        <v>58.95</v>
      </c>
      <c r="GQ43" s="7">
        <v>65.98</v>
      </c>
      <c r="GR43" s="113">
        <v>72.85</v>
      </c>
      <c r="GS43" s="7">
        <v>79.72</v>
      </c>
      <c r="GT43" s="7">
        <v>92.63</v>
      </c>
      <c r="GU43" s="7">
        <v>98.81</v>
      </c>
      <c r="GV43" s="7">
        <v>105</v>
      </c>
      <c r="GW43" s="113">
        <v>110.99</v>
      </c>
      <c r="GX43" s="113">
        <v>116.99</v>
      </c>
      <c r="GY43" s="113">
        <v>139.9</v>
      </c>
      <c r="GZ43" s="89"/>
      <c r="HA43" s="7">
        <v>11.15</v>
      </c>
      <c r="HB43" s="12">
        <v>13.28</v>
      </c>
      <c r="HC43" s="7">
        <v>23.92</v>
      </c>
      <c r="HD43" s="7">
        <v>28.68</v>
      </c>
      <c r="HE43" s="7">
        <v>31.62</v>
      </c>
      <c r="HF43" s="12">
        <v>36.53</v>
      </c>
      <c r="HG43" s="7">
        <v>39.85</v>
      </c>
      <c r="HH43" s="12">
        <v>42.69</v>
      </c>
      <c r="HI43" s="7">
        <v>45.54</v>
      </c>
      <c r="HJ43" s="12">
        <v>47.82</v>
      </c>
      <c r="HK43" s="7">
        <v>50.08</v>
      </c>
      <c r="HL43" s="7"/>
      <c r="HM43" s="7"/>
      <c r="HN43" s="28"/>
      <c r="HO43" s="7">
        <v>9.08</v>
      </c>
      <c r="HP43" s="7">
        <v>15.09</v>
      </c>
      <c r="HQ43" s="28"/>
      <c r="HR43" s="7">
        <v>4.07</v>
      </c>
      <c r="HS43" s="7">
        <v>7.76</v>
      </c>
      <c r="HT43" s="7">
        <v>17.41</v>
      </c>
      <c r="HU43" s="28"/>
      <c r="HV43" s="28"/>
      <c r="HW43" s="28"/>
      <c r="HX43" s="28"/>
      <c r="HY43" s="89" t="s">
        <v>64</v>
      </c>
      <c r="HZ43" s="191" t="s">
        <v>130</v>
      </c>
      <c r="IB43" s="28"/>
      <c r="IC43" s="28"/>
      <c r="ID43" s="89"/>
      <c r="IE43" s="92">
        <f>FY41</f>
        <v>0</v>
      </c>
      <c r="IF43" s="42">
        <f>((FY41*$BQ$27)/$BR$27)</f>
        <v>0</v>
      </c>
      <c r="IG43" s="42" t="e">
        <f>((FY41*$BQ$27)/$BS$27)</f>
        <v>#DIV/0!</v>
      </c>
      <c r="IH43" s="77" t="e">
        <f>((FY41*$BQ$27)/$BT$27)</f>
        <v>#DIV/0!</v>
      </c>
      <c r="II43" s="28"/>
      <c r="IJ43" s="31"/>
    </row>
    <row r="44" spans="17:244" ht="7.5" customHeight="1">
      <c r="Q44" s="40"/>
      <c r="R44" s="40"/>
      <c r="U44" s="8" t="s">
        <v>2</v>
      </c>
      <c r="V44" s="13"/>
      <c r="W44" s="89"/>
      <c r="X44" s="7">
        <v>8.18</v>
      </c>
      <c r="Y44" s="7">
        <v>16</v>
      </c>
      <c r="Z44" s="7">
        <v>23.32</v>
      </c>
      <c r="AA44" s="7">
        <v>30.34</v>
      </c>
      <c r="AB44" s="7">
        <v>36.8</v>
      </c>
      <c r="AC44" s="7">
        <v>43.2</v>
      </c>
      <c r="AD44" s="7">
        <v>49.35</v>
      </c>
      <c r="AE44" s="7">
        <v>55.2</v>
      </c>
      <c r="AF44" s="113">
        <v>60.95</v>
      </c>
      <c r="AG44" s="7">
        <v>66.71</v>
      </c>
      <c r="AH44" s="7">
        <v>77.54</v>
      </c>
      <c r="AI44" s="7">
        <v>82.71</v>
      </c>
      <c r="AJ44" s="7">
        <v>87.88</v>
      </c>
      <c r="AK44" s="152">
        <v>92.89</v>
      </c>
      <c r="AL44" s="113">
        <v>97.91</v>
      </c>
      <c r="AM44" s="113">
        <v>117.11</v>
      </c>
      <c r="AN44" s="89"/>
      <c r="AO44" s="7">
        <v>9.03</v>
      </c>
      <c r="AP44" s="7">
        <v>10.76</v>
      </c>
      <c r="AQ44" s="7">
        <v>19.38</v>
      </c>
      <c r="AR44" s="7">
        <v>23.26</v>
      </c>
      <c r="AS44" s="7">
        <v>25.63</v>
      </c>
      <c r="AT44" s="7">
        <v>28.96</v>
      </c>
      <c r="AU44" s="7">
        <v>32.3</v>
      </c>
      <c r="AV44" s="7">
        <v>34.61</v>
      </c>
      <c r="AW44" s="7">
        <v>36.92</v>
      </c>
      <c r="AX44" s="7">
        <v>38.76</v>
      </c>
      <c r="AY44" s="7">
        <v>40.62</v>
      </c>
      <c r="AZ44" s="7"/>
      <c r="BA44" s="7"/>
      <c r="BB44" s="28"/>
      <c r="BC44" s="7">
        <v>7.72</v>
      </c>
      <c r="BD44" s="7">
        <v>14.43</v>
      </c>
      <c r="BE44" s="28"/>
      <c r="BF44" s="7">
        <v>7.17</v>
      </c>
      <c r="BG44" s="7">
        <v>13.68</v>
      </c>
      <c r="BH44" s="7">
        <v>30.53</v>
      </c>
      <c r="BI44" s="28"/>
      <c r="BJ44" s="28"/>
      <c r="BK44" s="28"/>
      <c r="BL44" s="28"/>
      <c r="BM44" s="28"/>
      <c r="BN44" s="28"/>
      <c r="BO44" s="28"/>
      <c r="BP44" s="28"/>
      <c r="BQ44" s="92"/>
      <c r="BR44" s="186">
        <f>((L42*12)/$Q$26)</f>
        <v>104.29</v>
      </c>
      <c r="BS44" s="42"/>
      <c r="BT44" s="77"/>
      <c r="BU44" s="28"/>
      <c r="BV44" s="31"/>
      <c r="BX44" s="8" t="s">
        <v>2</v>
      </c>
      <c r="BY44" s="13"/>
      <c r="BZ44" s="89"/>
      <c r="CA44" s="7">
        <v>8.87</v>
      </c>
      <c r="CB44" s="7">
        <v>17.33</v>
      </c>
      <c r="CC44" s="7">
        <v>25.27</v>
      </c>
      <c r="CD44" s="7">
        <v>32.87</v>
      </c>
      <c r="CE44" s="7">
        <v>39.87</v>
      </c>
      <c r="CF44" s="7">
        <v>46.8</v>
      </c>
      <c r="CG44" s="7">
        <v>53.47</v>
      </c>
      <c r="CH44" s="7">
        <v>59.8</v>
      </c>
      <c r="CI44" s="113">
        <v>66.03</v>
      </c>
      <c r="CJ44" s="7">
        <v>72.27</v>
      </c>
      <c r="CK44" s="7">
        <v>84</v>
      </c>
      <c r="CL44" s="7">
        <v>89.6</v>
      </c>
      <c r="CM44" s="7">
        <v>95.2</v>
      </c>
      <c r="CN44" s="152">
        <v>100.63</v>
      </c>
      <c r="CO44" s="113">
        <v>106.07</v>
      </c>
      <c r="CP44" s="113">
        <v>126.87</v>
      </c>
      <c r="CQ44" s="89"/>
      <c r="CR44" s="7">
        <v>9.79</v>
      </c>
      <c r="CS44" s="7">
        <v>11.65</v>
      </c>
      <c r="CT44" s="7">
        <v>20.99</v>
      </c>
      <c r="CU44" s="7">
        <v>25.2</v>
      </c>
      <c r="CV44" s="7">
        <v>27.77</v>
      </c>
      <c r="CW44" s="7">
        <v>31.38</v>
      </c>
      <c r="CX44" s="7">
        <v>34.99</v>
      </c>
      <c r="CY44" s="7">
        <v>37.49</v>
      </c>
      <c r="CZ44" s="7">
        <v>39.99</v>
      </c>
      <c r="DA44" s="7">
        <v>41.99</v>
      </c>
      <c r="DB44" s="7">
        <v>44</v>
      </c>
      <c r="DC44" s="7"/>
      <c r="DD44" s="7"/>
      <c r="DE44" s="28"/>
      <c r="DF44" s="7">
        <v>8.36</v>
      </c>
      <c r="DG44" s="7">
        <v>15.63</v>
      </c>
      <c r="DH44" s="28"/>
      <c r="DI44" s="7">
        <v>7.76</v>
      </c>
      <c r="DJ44" s="7">
        <v>14.81</v>
      </c>
      <c r="DK44" s="7">
        <v>33.07</v>
      </c>
      <c r="DL44" s="28"/>
      <c r="DM44" s="28"/>
      <c r="DN44" s="28"/>
      <c r="DO44" s="28"/>
      <c r="DP44" s="28"/>
      <c r="DQ44" s="28"/>
      <c r="DR44" s="28"/>
      <c r="DS44" s="28"/>
      <c r="DT44" s="28"/>
      <c r="DU44" s="89"/>
      <c r="DV44" s="92" t="e">
        <f>#REF!</f>
        <v>#REF!</v>
      </c>
      <c r="DW44" s="42" t="e">
        <f>((#REF!*$BQ$27)/$BR$27)</f>
        <v>#REF!</v>
      </c>
      <c r="DX44" s="42" t="e">
        <f>((#REF!*$BQ$27)/$BS$27)</f>
        <v>#REF!</v>
      </c>
      <c r="DY44" s="77" t="e">
        <f>((#REF!*$BQ$27)/$BT$27)</f>
        <v>#REF!</v>
      </c>
      <c r="DZ44" s="28"/>
      <c r="EA44" s="31"/>
      <c r="EC44" s="8" t="s">
        <v>2</v>
      </c>
      <c r="ED44" s="13"/>
      <c r="EE44" s="89"/>
      <c r="EF44" s="7">
        <v>15.14</v>
      </c>
      <c r="EG44" s="7">
        <v>25.17</v>
      </c>
      <c r="EH44" s="7">
        <v>29.91</v>
      </c>
      <c r="EI44" s="7">
        <v>46.4</v>
      </c>
      <c r="EJ44" s="7">
        <v>51.08</v>
      </c>
      <c r="EK44" s="7">
        <v>55.72</v>
      </c>
      <c r="EL44" s="7">
        <v>63.15</v>
      </c>
      <c r="EM44" s="7">
        <v>70.22</v>
      </c>
      <c r="EN44" s="113">
        <v>76.63</v>
      </c>
      <c r="EO44" s="7">
        <v>83.03</v>
      </c>
      <c r="EP44" s="7">
        <v>96.33</v>
      </c>
      <c r="EQ44" s="7">
        <v>101.91</v>
      </c>
      <c r="ER44" s="7">
        <v>107.49</v>
      </c>
      <c r="ES44" s="113">
        <v>112.81</v>
      </c>
      <c r="ET44" s="113">
        <v>118.12</v>
      </c>
      <c r="EU44" s="113">
        <v>135.84</v>
      </c>
      <c r="EV44" s="89"/>
      <c r="EW44" s="7">
        <v>11.21</v>
      </c>
      <c r="EX44" s="12">
        <v>13.35</v>
      </c>
      <c r="EY44" s="7">
        <v>24.05</v>
      </c>
      <c r="EZ44" s="7">
        <v>28.87</v>
      </c>
      <c r="FA44" s="7">
        <v>31.81</v>
      </c>
      <c r="FB44" s="12">
        <v>36.74</v>
      </c>
      <c r="FC44" s="7">
        <v>40.08</v>
      </c>
      <c r="FD44" s="12">
        <v>42.94</v>
      </c>
      <c r="FE44" s="7">
        <v>45.81</v>
      </c>
      <c r="FF44" s="12">
        <v>48.1</v>
      </c>
      <c r="FG44" s="7">
        <v>50.4</v>
      </c>
      <c r="FH44" s="7"/>
      <c r="FI44" s="7"/>
      <c r="FJ44" s="28"/>
      <c r="FK44" s="7">
        <v>9.58</v>
      </c>
      <c r="FL44" s="7">
        <v>17.91</v>
      </c>
      <c r="FM44" s="28"/>
      <c r="FN44" s="7">
        <v>8.89</v>
      </c>
      <c r="FO44" s="7">
        <v>16.97</v>
      </c>
      <c r="FP44" s="7">
        <v>37.88</v>
      </c>
      <c r="FQ44" s="28"/>
      <c r="FR44" s="28"/>
      <c r="FS44" s="28"/>
      <c r="FT44" s="28"/>
      <c r="FU44" s="28"/>
      <c r="FV44" s="28"/>
      <c r="FW44" s="28"/>
      <c r="FX44" s="28"/>
      <c r="FY44" s="28"/>
      <c r="FZ44" s="92">
        <f>DT42</f>
        <v>0</v>
      </c>
      <c r="GA44" s="42">
        <f>((DT42*$BQ$27)/$BR$27)</f>
        <v>0</v>
      </c>
      <c r="GB44" s="42" t="e">
        <f>((DT42*$BQ$27)/$BS$27)</f>
        <v>#DIV/0!</v>
      </c>
      <c r="GC44" s="77" t="e">
        <f>((DT42*$BQ$27)/$BT$27)</f>
        <v>#DIV/0!</v>
      </c>
      <c r="GD44" s="28"/>
      <c r="GE44" s="31"/>
      <c r="GG44" s="8" t="s">
        <v>2</v>
      </c>
      <c r="GH44" s="13"/>
      <c r="GI44" s="89"/>
      <c r="GJ44" s="7">
        <v>10.16</v>
      </c>
      <c r="GK44" s="7">
        <v>19.85</v>
      </c>
      <c r="GL44" s="7">
        <v>28.94</v>
      </c>
      <c r="GM44" s="7">
        <v>37.65</v>
      </c>
      <c r="GN44" s="7">
        <v>45.67</v>
      </c>
      <c r="GO44" s="7">
        <v>53.61</v>
      </c>
      <c r="GP44" s="7">
        <v>61.24</v>
      </c>
      <c r="GQ44" s="7">
        <v>68.5</v>
      </c>
      <c r="GR44" s="113">
        <v>75.64</v>
      </c>
      <c r="GS44" s="7">
        <v>82.78</v>
      </c>
      <c r="GT44" s="7">
        <v>96.22</v>
      </c>
      <c r="GU44" s="7">
        <v>102.63</v>
      </c>
      <c r="GV44" s="7">
        <v>109.05</v>
      </c>
      <c r="GW44" s="113">
        <v>115.27</v>
      </c>
      <c r="GX44" s="113">
        <v>121.49</v>
      </c>
      <c r="GY44" s="113">
        <v>145.32</v>
      </c>
      <c r="GZ44" s="89"/>
      <c r="HA44" s="7">
        <v>11.21</v>
      </c>
      <c r="HB44" s="12">
        <v>13.35</v>
      </c>
      <c r="HC44" s="7">
        <v>24.05</v>
      </c>
      <c r="HD44" s="7">
        <v>28.87</v>
      </c>
      <c r="HE44" s="7">
        <v>31.81</v>
      </c>
      <c r="HF44" s="12">
        <v>36.74</v>
      </c>
      <c r="HG44" s="7">
        <v>40.08</v>
      </c>
      <c r="HH44" s="12">
        <v>42.94</v>
      </c>
      <c r="HI44" s="7">
        <v>45.81</v>
      </c>
      <c r="HJ44" s="12">
        <v>48.1</v>
      </c>
      <c r="HK44" s="7">
        <v>50.4</v>
      </c>
      <c r="HL44" s="7"/>
      <c r="HM44" s="7"/>
      <c r="HN44" s="28"/>
      <c r="HO44" s="7">
        <v>9.58</v>
      </c>
      <c r="HP44" s="7">
        <v>17.91</v>
      </c>
      <c r="HQ44" s="28"/>
      <c r="HR44" s="7">
        <v>8.89</v>
      </c>
      <c r="HS44" s="7">
        <v>16.97</v>
      </c>
      <c r="HT44" s="7">
        <v>37.88</v>
      </c>
      <c r="HU44" s="28"/>
      <c r="HV44" s="28"/>
      <c r="HW44" s="28"/>
      <c r="HX44" s="28"/>
      <c r="HY44" s="89" t="s">
        <v>131</v>
      </c>
      <c r="HZ44" s="28" t="s">
        <v>129</v>
      </c>
      <c r="IB44" s="28"/>
      <c r="IC44" s="28"/>
      <c r="ID44" s="89"/>
      <c r="IE44" s="92">
        <f>FY42</f>
        <v>0</v>
      </c>
      <c r="IF44" s="42">
        <f>((FY42*$BQ$27)/$BR$27)</f>
        <v>0</v>
      </c>
      <c r="IG44" s="42" t="e">
        <f>((FY42*$BQ$27)/$BS$27)</f>
        <v>#DIV/0!</v>
      </c>
      <c r="IH44" s="77" t="e">
        <f>((FY42*$BQ$27)/$BT$27)</f>
        <v>#DIV/0!</v>
      </c>
      <c r="II44" s="28"/>
      <c r="IJ44" s="31"/>
    </row>
    <row r="45" spans="17:244" ht="7.5" customHeight="1">
      <c r="Q45" s="40"/>
      <c r="R45" s="40"/>
      <c r="U45" s="10" t="s">
        <v>3</v>
      </c>
      <c r="V45" s="14"/>
      <c r="W45" s="89"/>
      <c r="X45" s="7">
        <v>11.69</v>
      </c>
      <c r="Y45" s="7">
        <v>22.83</v>
      </c>
      <c r="Z45" s="7">
        <v>33.29</v>
      </c>
      <c r="AA45" s="7">
        <v>43.32</v>
      </c>
      <c r="AB45" s="7">
        <v>52.55</v>
      </c>
      <c r="AC45" s="7">
        <v>61.72</v>
      </c>
      <c r="AD45" s="7">
        <v>70.46</v>
      </c>
      <c r="AE45" s="7">
        <v>78.83</v>
      </c>
      <c r="AF45" s="113">
        <v>87.05</v>
      </c>
      <c r="AG45" s="7">
        <v>95.26</v>
      </c>
      <c r="AH45" s="7">
        <v>110.71</v>
      </c>
      <c r="AI45" s="7">
        <v>118.09</v>
      </c>
      <c r="AJ45" s="7">
        <v>125.48</v>
      </c>
      <c r="AK45" s="153">
        <v>132.65</v>
      </c>
      <c r="AL45" s="46">
        <v>139.82</v>
      </c>
      <c r="AM45" s="47">
        <v>167.2</v>
      </c>
      <c r="AN45" s="89"/>
      <c r="AO45" s="7">
        <v>13.02</v>
      </c>
      <c r="AP45" s="7">
        <v>15.51</v>
      </c>
      <c r="AQ45" s="7">
        <v>27.96</v>
      </c>
      <c r="AR45" s="7">
        <v>33.51</v>
      </c>
      <c r="AS45" s="7">
        <v>36.94</v>
      </c>
      <c r="AT45" s="7">
        <v>41.74</v>
      </c>
      <c r="AU45" s="7">
        <v>46.55</v>
      </c>
      <c r="AV45" s="7">
        <v>49.87</v>
      </c>
      <c r="AW45" s="7">
        <v>53.19</v>
      </c>
      <c r="AX45" s="7">
        <v>55.85</v>
      </c>
      <c r="AY45" s="7">
        <v>58.5</v>
      </c>
      <c r="AZ45" s="7"/>
      <c r="BA45" s="7"/>
      <c r="BB45" s="28"/>
      <c r="BC45" s="7">
        <v>9.18</v>
      </c>
      <c r="BD45" s="7">
        <v>16.96</v>
      </c>
      <c r="BE45" s="28"/>
      <c r="BF45" s="7">
        <v>7.97</v>
      </c>
      <c r="BG45" s="7">
        <v>15.19</v>
      </c>
      <c r="BH45" s="7">
        <v>33.96</v>
      </c>
      <c r="BI45" s="28"/>
      <c r="BJ45" s="28"/>
      <c r="BK45" s="28"/>
      <c r="BL45" s="28"/>
      <c r="BM45" s="28"/>
      <c r="BN45" s="28"/>
      <c r="BO45" s="28"/>
      <c r="BP45" s="28"/>
      <c r="BQ45" s="92"/>
      <c r="BR45" s="186">
        <f>((L43*12)/$Q$26)</f>
        <v>147.62</v>
      </c>
      <c r="BS45" s="42"/>
      <c r="BT45" s="77"/>
      <c r="BU45" s="28"/>
      <c r="BV45" s="31"/>
      <c r="BX45" s="10" t="s">
        <v>3</v>
      </c>
      <c r="BY45" s="14"/>
      <c r="BZ45" s="89"/>
      <c r="CA45" s="7">
        <v>12.67</v>
      </c>
      <c r="CB45" s="7">
        <v>24.73</v>
      </c>
      <c r="CC45" s="7">
        <v>36.07</v>
      </c>
      <c r="CD45" s="7">
        <v>46.93</v>
      </c>
      <c r="CE45" s="7">
        <v>56.93</v>
      </c>
      <c r="CF45" s="7">
        <v>66.87</v>
      </c>
      <c r="CG45" s="7">
        <v>76.33</v>
      </c>
      <c r="CH45" s="7">
        <v>85.4</v>
      </c>
      <c r="CI45" s="113">
        <v>94.3</v>
      </c>
      <c r="CJ45" s="7">
        <v>103.2</v>
      </c>
      <c r="CK45" s="7">
        <v>119.93</v>
      </c>
      <c r="CL45" s="7">
        <v>127.93</v>
      </c>
      <c r="CM45" s="7">
        <v>135.93</v>
      </c>
      <c r="CN45" s="153">
        <v>143.7</v>
      </c>
      <c r="CO45" s="46">
        <v>151.47</v>
      </c>
      <c r="CP45" s="47">
        <v>181.13</v>
      </c>
      <c r="CQ45" s="89"/>
      <c r="CR45" s="7">
        <v>14.1</v>
      </c>
      <c r="CS45" s="7">
        <v>16.8</v>
      </c>
      <c r="CT45" s="7">
        <v>30.29</v>
      </c>
      <c r="CU45" s="7">
        <v>36.3</v>
      </c>
      <c r="CV45" s="7">
        <v>40.02</v>
      </c>
      <c r="CW45" s="7">
        <v>45.22</v>
      </c>
      <c r="CX45" s="7">
        <v>50.42</v>
      </c>
      <c r="CY45" s="7">
        <v>54.02</v>
      </c>
      <c r="CZ45" s="7">
        <v>57.62</v>
      </c>
      <c r="DA45" s="7">
        <v>60.5</v>
      </c>
      <c r="DB45" s="7">
        <v>63.37</v>
      </c>
      <c r="DC45" s="7"/>
      <c r="DD45" s="7"/>
      <c r="DE45" s="28"/>
      <c r="DF45" s="7">
        <v>9.95</v>
      </c>
      <c r="DG45" s="7">
        <v>18.37</v>
      </c>
      <c r="DH45" s="28"/>
      <c r="DI45" s="7">
        <v>8.64</v>
      </c>
      <c r="DJ45" s="7">
        <v>16.45</v>
      </c>
      <c r="DK45" s="7">
        <v>36.79</v>
      </c>
      <c r="DL45" s="28"/>
      <c r="DM45" s="28"/>
      <c r="DN45" s="28"/>
      <c r="DO45" s="28"/>
      <c r="DP45" s="28"/>
      <c r="DQ45" s="28"/>
      <c r="DR45" s="28"/>
      <c r="DS45" s="28"/>
      <c r="DT45" s="28"/>
      <c r="DU45" s="89"/>
      <c r="DV45" s="92" t="e">
        <f>#REF!</f>
        <v>#REF!</v>
      </c>
      <c r="DW45" s="42" t="e">
        <f>((#REF!*$BQ$27)/$BR$27)</f>
        <v>#REF!</v>
      </c>
      <c r="DX45" s="42" t="e">
        <f>((#REF!*$BQ$27)/$BS$27)</f>
        <v>#REF!</v>
      </c>
      <c r="DY45" s="77" t="e">
        <f>((#REF!*$BQ$27)/$BT$27)</f>
        <v>#REF!</v>
      </c>
      <c r="DZ45" s="28"/>
      <c r="EA45" s="31"/>
      <c r="EC45" s="10" t="s">
        <v>3</v>
      </c>
      <c r="ED45" s="14"/>
      <c r="EE45" s="89"/>
      <c r="EF45" s="7">
        <v>20.18</v>
      </c>
      <c r="EG45" s="7">
        <v>34.08</v>
      </c>
      <c r="EH45" s="7">
        <v>41.25</v>
      </c>
      <c r="EI45" s="7">
        <v>55.72</v>
      </c>
      <c r="EJ45" s="7">
        <v>66.07</v>
      </c>
      <c r="EK45" s="7">
        <v>76.34</v>
      </c>
      <c r="EL45" s="7">
        <v>86.52</v>
      </c>
      <c r="EM45" s="7">
        <v>96.26</v>
      </c>
      <c r="EN45" s="113">
        <v>105.03</v>
      </c>
      <c r="EO45" s="7">
        <v>113.8</v>
      </c>
      <c r="EP45" s="7">
        <v>131.87</v>
      </c>
      <c r="EQ45" s="7">
        <v>139.52</v>
      </c>
      <c r="ER45" s="7">
        <v>147.17</v>
      </c>
      <c r="ES45" s="46">
        <v>154.44</v>
      </c>
      <c r="ET45" s="46">
        <v>161.71</v>
      </c>
      <c r="EU45" s="47">
        <v>185.96</v>
      </c>
      <c r="EV45" s="89"/>
      <c r="EW45" s="7">
        <v>16.16</v>
      </c>
      <c r="EX45" s="12">
        <v>19.24</v>
      </c>
      <c r="EY45" s="7">
        <v>34.69</v>
      </c>
      <c r="EZ45" s="7">
        <v>41.58</v>
      </c>
      <c r="FA45" s="7">
        <v>45.84</v>
      </c>
      <c r="FB45" s="12">
        <v>52.94</v>
      </c>
      <c r="FC45" s="7">
        <v>57.76</v>
      </c>
      <c r="FD45" s="12">
        <v>61.88</v>
      </c>
      <c r="FE45" s="7">
        <v>66</v>
      </c>
      <c r="FF45" s="12">
        <v>69.3</v>
      </c>
      <c r="FG45" s="7">
        <v>72.59</v>
      </c>
      <c r="FH45" s="7"/>
      <c r="FI45" s="7"/>
      <c r="FJ45" s="28"/>
      <c r="FK45" s="7">
        <v>11.4</v>
      </c>
      <c r="FL45" s="7">
        <v>21.04</v>
      </c>
      <c r="FM45" s="28"/>
      <c r="FN45" s="7">
        <v>9.89</v>
      </c>
      <c r="FO45" s="7">
        <v>18.85</v>
      </c>
      <c r="FP45" s="7">
        <v>42.14</v>
      </c>
      <c r="FQ45" s="28"/>
      <c r="FR45" s="28"/>
      <c r="FS45" s="28"/>
      <c r="FT45" s="28"/>
      <c r="FU45" s="28"/>
      <c r="FV45" s="28"/>
      <c r="FW45" s="28"/>
      <c r="FX45" s="28"/>
      <c r="FY45" s="28"/>
      <c r="FZ45" s="92">
        <f>DT43</f>
        <v>0</v>
      </c>
      <c r="GA45" s="42">
        <f>((DT43*$BQ$27)/$BR$27)</f>
        <v>0</v>
      </c>
      <c r="GB45" s="42" t="e">
        <f>((DT43*$BQ$27)/$BS$27)</f>
        <v>#DIV/0!</v>
      </c>
      <c r="GC45" s="77" t="e">
        <f>((DT43*$BQ$27)/$BT$27)</f>
        <v>#DIV/0!</v>
      </c>
      <c r="GD45" s="28"/>
      <c r="GE45" s="31"/>
      <c r="GG45" s="10" t="s">
        <v>3</v>
      </c>
      <c r="GH45" s="14"/>
      <c r="GI45" s="89"/>
      <c r="GJ45" s="7">
        <v>14.51</v>
      </c>
      <c r="GK45" s="7">
        <v>28.33</v>
      </c>
      <c r="GL45" s="7">
        <v>41.31</v>
      </c>
      <c r="GM45" s="7">
        <v>53.76</v>
      </c>
      <c r="GN45" s="7">
        <v>65.21</v>
      </c>
      <c r="GO45" s="7">
        <v>76.59</v>
      </c>
      <c r="GP45" s="7">
        <v>87.44</v>
      </c>
      <c r="GQ45" s="7">
        <v>97.82</v>
      </c>
      <c r="GR45" s="113">
        <v>108.02</v>
      </c>
      <c r="GS45" s="7">
        <v>118.21</v>
      </c>
      <c r="GT45" s="7">
        <v>137.38</v>
      </c>
      <c r="GU45" s="7">
        <v>146.54</v>
      </c>
      <c r="GV45" s="7">
        <v>155.71</v>
      </c>
      <c r="GW45" s="46">
        <v>164.6</v>
      </c>
      <c r="GX45" s="46">
        <v>173.5</v>
      </c>
      <c r="GY45" s="47">
        <v>207.48</v>
      </c>
      <c r="GZ45" s="89"/>
      <c r="HA45" s="7">
        <v>16.16</v>
      </c>
      <c r="HB45" s="12">
        <v>19.24</v>
      </c>
      <c r="HC45" s="7">
        <v>34.69</v>
      </c>
      <c r="HD45" s="7">
        <v>41.58</v>
      </c>
      <c r="HE45" s="7">
        <v>45.84</v>
      </c>
      <c r="HF45" s="12">
        <v>52.94</v>
      </c>
      <c r="HG45" s="7">
        <v>57.76</v>
      </c>
      <c r="HH45" s="12">
        <v>61.88</v>
      </c>
      <c r="HI45" s="7">
        <v>66</v>
      </c>
      <c r="HJ45" s="12">
        <v>69.3</v>
      </c>
      <c r="HK45" s="7">
        <v>72.59</v>
      </c>
      <c r="HL45" s="7"/>
      <c r="HM45" s="7"/>
      <c r="HN45" s="28"/>
      <c r="HO45" s="7">
        <v>11.4</v>
      </c>
      <c r="HP45" s="7">
        <v>21.04</v>
      </c>
      <c r="HQ45" s="28"/>
      <c r="HR45" s="7">
        <v>9.89</v>
      </c>
      <c r="HS45" s="7">
        <v>18.85</v>
      </c>
      <c r="HT45" s="7">
        <v>42.14</v>
      </c>
      <c r="HU45" s="28"/>
      <c r="HV45" s="28"/>
      <c r="HW45" s="28"/>
      <c r="HX45" s="28"/>
      <c r="HY45" s="99" t="s">
        <v>132</v>
      </c>
      <c r="HZ45" s="28" t="s">
        <v>129</v>
      </c>
      <c r="IB45" s="28"/>
      <c r="IC45" s="28"/>
      <c r="ID45" s="89"/>
      <c r="IE45" s="92">
        <f>FY43</f>
        <v>0</v>
      </c>
      <c r="IF45" s="42">
        <f>((FY43*$BQ$27)/$BR$27)</f>
        <v>0</v>
      </c>
      <c r="IG45" s="42" t="e">
        <f>((FY43*$BQ$27)/$BS$27)</f>
        <v>#DIV/0!</v>
      </c>
      <c r="IH45" s="77" t="e">
        <f>((FY43*$BQ$27)/$BT$27)</f>
        <v>#DIV/0!</v>
      </c>
      <c r="II45" s="28"/>
      <c r="IJ45" s="31"/>
    </row>
    <row r="46" spans="10:244" ht="12.75">
      <c r="J46" s="23" t="s">
        <v>52</v>
      </c>
      <c r="K46" s="39">
        <f>SUM(K28+K29+K30+K31+K34+K35+K36+K37+K40+K41+K42+K43)</f>
        <v>0</v>
      </c>
      <c r="M46" s="38">
        <f>SUM(M28:M43)</f>
        <v>0</v>
      </c>
      <c r="O46" s="210" t="s">
        <v>122</v>
      </c>
      <c r="P46" s="210"/>
      <c r="Q46" s="210"/>
      <c r="R46" s="210"/>
      <c r="U46" s="88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G46" s="89"/>
      <c r="AH46" s="89"/>
      <c r="AI46" s="89"/>
      <c r="AJ46" s="89"/>
      <c r="AK46" s="89"/>
      <c r="AN46" s="89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28"/>
      <c r="BC46" s="89"/>
      <c r="BD46" s="89"/>
      <c r="BE46" s="28"/>
      <c r="BF46" s="89"/>
      <c r="BG46" s="89"/>
      <c r="BH46" s="89"/>
      <c r="BI46" s="28"/>
      <c r="BJ46" s="28"/>
      <c r="BK46" s="28"/>
      <c r="BL46" s="28"/>
      <c r="BM46" s="28"/>
      <c r="BN46" s="28"/>
      <c r="BO46" s="28"/>
      <c r="BP46" s="28"/>
      <c r="BQ46" s="28"/>
      <c r="BR46" s="181"/>
      <c r="BS46" s="28"/>
      <c r="BT46" s="28"/>
      <c r="BU46" s="28"/>
      <c r="BV46" s="31"/>
      <c r="BX46" s="88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J46" s="89"/>
      <c r="CK46" s="89"/>
      <c r="CL46" s="89"/>
      <c r="CM46" s="89"/>
      <c r="CN46" s="89"/>
      <c r="CQ46" s="89"/>
      <c r="CR46" s="95"/>
      <c r="CS46" s="95"/>
      <c r="CT46" s="95"/>
      <c r="CU46" s="95"/>
      <c r="CV46" s="95"/>
      <c r="CW46" s="95"/>
      <c r="CX46" s="95"/>
      <c r="CY46" s="95"/>
      <c r="CZ46" s="95"/>
      <c r="DA46" s="95"/>
      <c r="DB46" s="95"/>
      <c r="DC46" s="95"/>
      <c r="DD46" s="95"/>
      <c r="DE46" s="28"/>
      <c r="DF46" s="89"/>
      <c r="DG46" s="89"/>
      <c r="DH46" s="28"/>
      <c r="DI46" s="89"/>
      <c r="DJ46" s="89"/>
      <c r="DK46" s="89"/>
      <c r="DL46" s="28"/>
      <c r="DM46" s="28"/>
      <c r="DN46" s="28"/>
      <c r="DO46" s="28"/>
      <c r="DP46" s="28"/>
      <c r="DQ46" s="28"/>
      <c r="DR46" s="28"/>
      <c r="DS46" s="28"/>
      <c r="DT46" s="28"/>
      <c r="DU46" s="89"/>
      <c r="DV46" s="28"/>
      <c r="DW46" s="28"/>
      <c r="DX46" s="28"/>
      <c r="DY46" s="28"/>
      <c r="DZ46" s="28"/>
      <c r="EA46" s="31"/>
      <c r="EC46" s="88"/>
      <c r="ED46" s="89"/>
      <c r="EE46" s="89"/>
      <c r="EF46" s="89"/>
      <c r="EG46" s="89"/>
      <c r="EH46" s="89"/>
      <c r="EI46" s="89"/>
      <c r="EJ46" s="89"/>
      <c r="EK46" s="89"/>
      <c r="EL46" s="89"/>
      <c r="EM46" s="89"/>
      <c r="EO46" s="89"/>
      <c r="EP46" s="89"/>
      <c r="EQ46" s="89"/>
      <c r="ER46" s="89"/>
      <c r="ES46" s="99"/>
      <c r="EV46" s="89"/>
      <c r="EW46" s="95"/>
      <c r="EX46" s="47"/>
      <c r="EY46" s="95"/>
      <c r="EZ46" s="95"/>
      <c r="FA46" s="95"/>
      <c r="FB46" s="47"/>
      <c r="FC46" s="95"/>
      <c r="FD46" s="47"/>
      <c r="FE46" s="95"/>
      <c r="FF46" s="47"/>
      <c r="FG46" s="95"/>
      <c r="FH46" s="95"/>
      <c r="FI46" s="95"/>
      <c r="FJ46" s="28"/>
      <c r="FK46" s="89"/>
      <c r="FL46" s="89"/>
      <c r="FM46" s="28"/>
      <c r="FN46" s="89"/>
      <c r="FO46" s="89"/>
      <c r="FP46" s="89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31"/>
      <c r="GG46" s="88"/>
      <c r="GH46" s="89"/>
      <c r="GI46" s="89"/>
      <c r="GJ46" s="89"/>
      <c r="GK46" s="89"/>
      <c r="GL46" s="89"/>
      <c r="GM46" s="89"/>
      <c r="GN46" s="89"/>
      <c r="GO46" s="89"/>
      <c r="GP46" s="89"/>
      <c r="GQ46" s="89"/>
      <c r="GR46" s="174"/>
      <c r="GS46" s="89"/>
      <c r="GT46" s="89"/>
      <c r="GU46" s="89"/>
      <c r="GV46" s="89"/>
      <c r="GW46" s="99"/>
      <c r="GZ46" s="89"/>
      <c r="HA46" s="95"/>
      <c r="HB46" s="47"/>
      <c r="HC46" s="95"/>
      <c r="HD46" s="95"/>
      <c r="HE46" s="95"/>
      <c r="HF46" s="47"/>
      <c r="HG46" s="95"/>
      <c r="HH46" s="47"/>
      <c r="HI46" s="95"/>
      <c r="HJ46" s="47"/>
      <c r="HK46" s="95"/>
      <c r="HL46" s="95"/>
      <c r="HM46" s="95"/>
      <c r="HN46" s="28"/>
      <c r="HO46" s="89"/>
      <c r="HP46" s="89"/>
      <c r="HQ46" s="28"/>
      <c r="HR46" s="89"/>
      <c r="HS46" s="89"/>
      <c r="HT46" s="89"/>
      <c r="HU46" s="28"/>
      <c r="HV46" s="28"/>
      <c r="HW46" s="28"/>
      <c r="HX46" s="28"/>
      <c r="HY46" s="99" t="s">
        <v>133</v>
      </c>
      <c r="HZ46" s="28" t="s">
        <v>129</v>
      </c>
      <c r="IB46" s="28"/>
      <c r="IC46" s="28"/>
      <c r="ID46" s="89"/>
      <c r="IE46" s="28"/>
      <c r="IF46" s="28"/>
      <c r="IG46" s="28"/>
      <c r="IH46" s="28"/>
      <c r="II46" s="28"/>
      <c r="IJ46" s="31"/>
    </row>
    <row r="47" spans="21:244" ht="7.5" customHeight="1">
      <c r="U47" s="88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G47" s="89"/>
      <c r="AH47" s="89"/>
      <c r="AI47" s="89"/>
      <c r="AJ47" s="89"/>
      <c r="AK47" s="89"/>
      <c r="AN47" s="89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28"/>
      <c r="BC47" s="89"/>
      <c r="BD47" s="89"/>
      <c r="BE47" s="28"/>
      <c r="BF47" s="89"/>
      <c r="BG47" s="89"/>
      <c r="BH47" s="89"/>
      <c r="BI47" s="28"/>
      <c r="BJ47" s="28"/>
      <c r="BK47" s="28"/>
      <c r="BL47" s="28"/>
      <c r="BM47" s="28"/>
      <c r="BN47" s="28"/>
      <c r="BO47" s="28"/>
      <c r="BP47" s="28"/>
      <c r="BQ47" s="28"/>
      <c r="BR47" s="181"/>
      <c r="BS47" s="28"/>
      <c r="BT47" s="28"/>
      <c r="BU47" s="28"/>
      <c r="BV47" s="31"/>
      <c r="BX47" s="88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J47" s="89"/>
      <c r="CK47" s="89"/>
      <c r="CL47" s="89"/>
      <c r="CM47" s="89"/>
      <c r="CN47" s="89"/>
      <c r="CQ47" s="89"/>
      <c r="CR47" s="95"/>
      <c r="CS47" s="95"/>
      <c r="CT47" s="95"/>
      <c r="CU47" s="95"/>
      <c r="CV47" s="95"/>
      <c r="CW47" s="95"/>
      <c r="CX47" s="95"/>
      <c r="CY47" s="95"/>
      <c r="CZ47" s="95"/>
      <c r="DA47" s="95"/>
      <c r="DB47" s="95"/>
      <c r="DC47" s="95"/>
      <c r="DD47" s="95"/>
      <c r="DE47" s="28"/>
      <c r="DF47" s="89"/>
      <c r="DG47" s="89"/>
      <c r="DH47" s="28"/>
      <c r="DI47" s="89"/>
      <c r="DJ47" s="89"/>
      <c r="DK47" s="89"/>
      <c r="DL47" s="28"/>
      <c r="DM47" s="28"/>
      <c r="DN47" s="28"/>
      <c r="DO47" s="28"/>
      <c r="DP47" s="28"/>
      <c r="DQ47" s="28"/>
      <c r="DR47" s="28"/>
      <c r="DS47" s="28"/>
      <c r="DT47" s="28"/>
      <c r="DU47" s="89"/>
      <c r="DV47" s="28"/>
      <c r="DW47" s="28"/>
      <c r="DX47" s="28"/>
      <c r="DY47" s="28"/>
      <c r="DZ47" s="28"/>
      <c r="EA47" s="31"/>
      <c r="EC47" s="88"/>
      <c r="ED47" s="89"/>
      <c r="EE47" s="89"/>
      <c r="EF47" s="89"/>
      <c r="EG47" s="89"/>
      <c r="EH47" s="89"/>
      <c r="EI47" s="89"/>
      <c r="EJ47" s="89"/>
      <c r="EK47" s="89"/>
      <c r="EL47" s="89"/>
      <c r="EM47" s="89"/>
      <c r="EO47" s="89"/>
      <c r="EP47" s="89"/>
      <c r="EQ47" s="89"/>
      <c r="ER47" s="89"/>
      <c r="ES47" s="99"/>
      <c r="EV47" s="89"/>
      <c r="EW47" s="95"/>
      <c r="EX47" s="47"/>
      <c r="EY47" s="95"/>
      <c r="EZ47" s="95"/>
      <c r="FA47" s="95"/>
      <c r="FB47" s="47"/>
      <c r="FC47" s="95"/>
      <c r="FD47" s="47"/>
      <c r="FE47" s="95"/>
      <c r="FF47" s="47"/>
      <c r="FG47" s="95"/>
      <c r="FH47" s="95"/>
      <c r="FI47" s="95"/>
      <c r="FJ47" s="28"/>
      <c r="FK47" s="89"/>
      <c r="FL47" s="89"/>
      <c r="FM47" s="28"/>
      <c r="FN47" s="89"/>
      <c r="FO47" s="89"/>
      <c r="FP47" s="89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31"/>
      <c r="GG47" s="88"/>
      <c r="GH47" s="89"/>
      <c r="GI47" s="89"/>
      <c r="GJ47" s="89"/>
      <c r="GK47" s="89"/>
      <c r="GL47" s="89"/>
      <c r="GM47" s="89"/>
      <c r="GN47" s="89"/>
      <c r="GO47" s="89"/>
      <c r="GP47" s="89"/>
      <c r="GQ47" s="89"/>
      <c r="GR47" s="174"/>
      <c r="GS47" s="89"/>
      <c r="GT47" s="89"/>
      <c r="GU47" s="89"/>
      <c r="GV47" s="89"/>
      <c r="GW47" s="99"/>
      <c r="GZ47" s="89"/>
      <c r="HA47" s="95"/>
      <c r="HB47" s="47"/>
      <c r="HC47" s="95"/>
      <c r="HD47" s="95"/>
      <c r="HE47" s="95"/>
      <c r="HF47" s="47"/>
      <c r="HG47" s="95"/>
      <c r="HH47" s="47"/>
      <c r="HI47" s="95"/>
      <c r="HJ47" s="47"/>
      <c r="HK47" s="95"/>
      <c r="HL47" s="95"/>
      <c r="HM47" s="95"/>
      <c r="HN47" s="28"/>
      <c r="HO47" s="89"/>
      <c r="HP47" s="89"/>
      <c r="HQ47" s="28"/>
      <c r="HR47" s="89"/>
      <c r="HS47" s="89"/>
      <c r="HT47" s="89"/>
      <c r="HU47" s="28"/>
      <c r="HV47" s="28"/>
      <c r="HW47" s="28"/>
      <c r="HX47" s="28"/>
      <c r="HY47" s="99" t="s">
        <v>65</v>
      </c>
      <c r="HZ47" s="28" t="s">
        <v>129</v>
      </c>
      <c r="IB47" s="28"/>
      <c r="IC47" s="28"/>
      <c r="ID47" s="89"/>
      <c r="IE47" s="28"/>
      <c r="IF47" s="28"/>
      <c r="IG47" s="28"/>
      <c r="IH47" s="28"/>
      <c r="II47" s="28"/>
      <c r="IJ47" s="31"/>
    </row>
    <row r="48" spans="10:244" ht="12.75">
      <c r="J48" s="216" t="str">
        <f>IF(OR($K$46&lt;25,$L$12&lt;50,$R$12="Yes"),"COMPOSITE RATING NOT AVAILABLE DUE TO SIZE, EMPLOYER CONTRIBUTION LEVEL OR DUAL PLANS","")</f>
        <v>COMPOSITE RATING NOT AVAILABLE DUE TO SIZE, EMPLOYER CONTRIBUTION LEVEL OR DUAL PLANS</v>
      </c>
      <c r="K48" s="217"/>
      <c r="L48" s="217"/>
      <c r="M48" s="217"/>
      <c r="N48" s="217"/>
      <c r="O48" s="217"/>
      <c r="P48" s="217"/>
      <c r="Q48" s="218"/>
      <c r="R48" s="218"/>
      <c r="S48" s="81"/>
      <c r="U48" s="88"/>
      <c r="V48" s="89"/>
      <c r="W48" s="89"/>
      <c r="X48" s="90" t="s">
        <v>7</v>
      </c>
      <c r="Y48" s="90"/>
      <c r="Z48" s="90"/>
      <c r="AA48" s="90"/>
      <c r="AB48" s="90"/>
      <c r="AC48" s="90"/>
      <c r="AD48" s="90"/>
      <c r="AE48" s="90"/>
      <c r="AG48" s="90"/>
      <c r="AH48" s="90"/>
      <c r="AI48" s="90"/>
      <c r="AJ48" s="90"/>
      <c r="AK48" s="90"/>
      <c r="AN48" s="89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28"/>
      <c r="BC48" s="89"/>
      <c r="BD48" s="89"/>
      <c r="BE48" s="28"/>
      <c r="BF48" s="89"/>
      <c r="BG48" s="89"/>
      <c r="BH48" s="89"/>
      <c r="BI48" s="28"/>
      <c r="BJ48" s="28"/>
      <c r="BK48" s="28"/>
      <c r="BL48" s="28"/>
      <c r="BM48" s="28"/>
      <c r="BN48" s="28"/>
      <c r="BO48" s="28"/>
      <c r="BP48" s="28"/>
      <c r="BQ48" s="28"/>
      <c r="BR48" s="181"/>
      <c r="BS48" s="28"/>
      <c r="BT48" s="28"/>
      <c r="BU48" s="28"/>
      <c r="BV48" s="31"/>
      <c r="BX48" s="88"/>
      <c r="BY48" s="89"/>
      <c r="BZ48" s="89"/>
      <c r="CA48" s="90" t="s">
        <v>7</v>
      </c>
      <c r="CB48" s="90"/>
      <c r="CC48" s="90"/>
      <c r="CD48" s="90"/>
      <c r="CE48" s="90"/>
      <c r="CF48" s="90"/>
      <c r="CG48" s="90"/>
      <c r="CH48" s="90"/>
      <c r="CJ48" s="90"/>
      <c r="CK48" s="90"/>
      <c r="CL48" s="90"/>
      <c r="CM48" s="90"/>
      <c r="CN48" s="90"/>
      <c r="CQ48" s="89"/>
      <c r="CR48" s="95"/>
      <c r="CS48" s="95"/>
      <c r="CT48" s="95"/>
      <c r="CU48" s="95"/>
      <c r="CV48" s="95"/>
      <c r="CW48" s="95"/>
      <c r="CX48" s="95"/>
      <c r="CY48" s="95"/>
      <c r="CZ48" s="95"/>
      <c r="DA48" s="95"/>
      <c r="DB48" s="95"/>
      <c r="DC48" s="95"/>
      <c r="DD48" s="95"/>
      <c r="DE48" s="28"/>
      <c r="DF48" s="89"/>
      <c r="DG48" s="89"/>
      <c r="DH48" s="28"/>
      <c r="DI48" s="89"/>
      <c r="DJ48" s="89"/>
      <c r="DK48" s="89"/>
      <c r="DL48" s="28"/>
      <c r="DM48" s="28"/>
      <c r="DN48" s="28"/>
      <c r="DO48" s="28"/>
      <c r="DP48" s="28"/>
      <c r="DQ48" s="28"/>
      <c r="DR48" s="28"/>
      <c r="DS48" s="28"/>
      <c r="DT48" s="28"/>
      <c r="DU48" s="89"/>
      <c r="DV48" s="28"/>
      <c r="DW48" s="28"/>
      <c r="DX48" s="28"/>
      <c r="DY48" s="28"/>
      <c r="DZ48" s="28"/>
      <c r="EA48" s="31"/>
      <c r="EC48" s="88"/>
      <c r="ED48" s="89"/>
      <c r="EE48" s="89"/>
      <c r="EF48" s="90" t="s">
        <v>7</v>
      </c>
      <c r="EG48" s="90"/>
      <c r="EH48" s="90"/>
      <c r="EI48" s="90"/>
      <c r="EJ48" s="90"/>
      <c r="EK48" s="90"/>
      <c r="EL48" s="90"/>
      <c r="EM48" s="90"/>
      <c r="EO48" s="90"/>
      <c r="EP48" s="90"/>
      <c r="EQ48" s="90"/>
      <c r="ER48" s="90"/>
      <c r="ES48" s="180"/>
      <c r="EV48" s="89"/>
      <c r="EW48" s="95"/>
      <c r="EX48" s="47"/>
      <c r="EY48" s="95"/>
      <c r="EZ48" s="95"/>
      <c r="FA48" s="95"/>
      <c r="FB48" s="47"/>
      <c r="FC48" s="95"/>
      <c r="FD48" s="47"/>
      <c r="FE48" s="95"/>
      <c r="FF48" s="47"/>
      <c r="FG48" s="95"/>
      <c r="FH48" s="95"/>
      <c r="FI48" s="95"/>
      <c r="FJ48" s="28"/>
      <c r="FK48" s="89"/>
      <c r="FL48" s="89"/>
      <c r="FM48" s="28"/>
      <c r="FN48" s="89"/>
      <c r="FO48" s="89"/>
      <c r="FP48" s="89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31"/>
      <c r="GG48" s="88"/>
      <c r="GH48" s="89"/>
      <c r="GI48" s="89"/>
      <c r="GJ48" s="90" t="s">
        <v>7</v>
      </c>
      <c r="GK48" s="90"/>
      <c r="GL48" s="90"/>
      <c r="GM48" s="90"/>
      <c r="GN48" s="90"/>
      <c r="GO48" s="90"/>
      <c r="GP48" s="90"/>
      <c r="GQ48" s="90"/>
      <c r="GR48" s="174"/>
      <c r="GS48" s="90"/>
      <c r="GT48" s="90"/>
      <c r="GU48" s="90"/>
      <c r="GV48" s="90"/>
      <c r="GW48" s="180"/>
      <c r="GZ48" s="89"/>
      <c r="HA48" s="95"/>
      <c r="HB48" s="47"/>
      <c r="HC48" s="95"/>
      <c r="HD48" s="95"/>
      <c r="HE48" s="95"/>
      <c r="HF48" s="47"/>
      <c r="HG48" s="95"/>
      <c r="HH48" s="47"/>
      <c r="HI48" s="95"/>
      <c r="HJ48" s="47"/>
      <c r="HK48" s="95"/>
      <c r="HL48" s="95"/>
      <c r="HM48" s="95"/>
      <c r="HN48" s="28"/>
      <c r="HO48" s="89"/>
      <c r="HP48" s="89"/>
      <c r="HQ48" s="28"/>
      <c r="HR48" s="89"/>
      <c r="HS48" s="89"/>
      <c r="HT48" s="89"/>
      <c r="HU48" s="28"/>
      <c r="HV48" s="28"/>
      <c r="HW48" s="28"/>
      <c r="HX48" s="28"/>
      <c r="HY48" s="89" t="s">
        <v>60</v>
      </c>
      <c r="HZ48" s="28" t="s">
        <v>129</v>
      </c>
      <c r="IB48" s="28"/>
      <c r="IC48" s="28"/>
      <c r="ID48" s="89"/>
      <c r="IE48" s="28"/>
      <c r="IF48" s="28"/>
      <c r="IG48" s="28"/>
      <c r="IH48" s="28"/>
      <c r="II48" s="28"/>
      <c r="IJ48" s="31"/>
    </row>
    <row r="49" spans="10:244" ht="6" customHeight="1">
      <c r="J49" s="27"/>
      <c r="K49" s="28"/>
      <c r="L49" s="36"/>
      <c r="M49" s="36"/>
      <c r="N49" s="36"/>
      <c r="O49" s="219"/>
      <c r="P49" s="219"/>
      <c r="Q49" s="219"/>
      <c r="R49" s="219"/>
      <c r="S49" s="31"/>
      <c r="U49" s="88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G49" s="89"/>
      <c r="AH49" s="89"/>
      <c r="AI49" s="89"/>
      <c r="AJ49" s="89"/>
      <c r="AK49" s="89"/>
      <c r="AN49" s="89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28"/>
      <c r="BC49" s="89"/>
      <c r="BD49" s="89"/>
      <c r="BE49" s="28"/>
      <c r="BF49" s="89"/>
      <c r="BG49" s="89"/>
      <c r="BH49" s="89"/>
      <c r="BI49" s="28"/>
      <c r="BJ49" s="28"/>
      <c r="BK49" s="28"/>
      <c r="BL49" s="28"/>
      <c r="BM49" s="28"/>
      <c r="BN49" s="28"/>
      <c r="BO49" s="28"/>
      <c r="BP49" s="28"/>
      <c r="BQ49" s="28"/>
      <c r="BR49" s="181"/>
      <c r="BS49" s="28"/>
      <c r="BT49" s="28"/>
      <c r="BU49" s="28"/>
      <c r="BV49" s="31"/>
      <c r="BX49" s="88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J49" s="89"/>
      <c r="CK49" s="89"/>
      <c r="CL49" s="89"/>
      <c r="CM49" s="89"/>
      <c r="CN49" s="89"/>
      <c r="CQ49" s="89"/>
      <c r="CR49" s="95"/>
      <c r="CS49" s="95"/>
      <c r="CT49" s="95"/>
      <c r="CU49" s="95"/>
      <c r="CV49" s="95"/>
      <c r="CW49" s="95"/>
      <c r="CX49" s="95"/>
      <c r="CY49" s="95"/>
      <c r="CZ49" s="95"/>
      <c r="DA49" s="95"/>
      <c r="DB49" s="95"/>
      <c r="DC49" s="95"/>
      <c r="DD49" s="95"/>
      <c r="DE49" s="28"/>
      <c r="DF49" s="89"/>
      <c r="DG49" s="89"/>
      <c r="DH49" s="28"/>
      <c r="DI49" s="89"/>
      <c r="DJ49" s="89"/>
      <c r="DK49" s="89"/>
      <c r="DL49" s="28"/>
      <c r="DM49" s="28"/>
      <c r="DN49" s="28"/>
      <c r="DO49" s="28"/>
      <c r="DP49" s="28"/>
      <c r="DQ49" s="28"/>
      <c r="DR49" s="28"/>
      <c r="DS49" s="28"/>
      <c r="DT49" s="28"/>
      <c r="DU49" s="89"/>
      <c r="DV49" s="28"/>
      <c r="DW49" s="28"/>
      <c r="DX49" s="28"/>
      <c r="DY49" s="28"/>
      <c r="DZ49" s="28"/>
      <c r="EA49" s="31"/>
      <c r="EC49" s="88"/>
      <c r="ED49" s="89"/>
      <c r="EE49" s="89"/>
      <c r="EF49" s="89"/>
      <c r="EG49" s="89"/>
      <c r="EH49" s="89"/>
      <c r="EI49" s="89"/>
      <c r="EJ49" s="89"/>
      <c r="EK49" s="89"/>
      <c r="EL49" s="89"/>
      <c r="EM49" s="89"/>
      <c r="EO49" s="89"/>
      <c r="EP49" s="89"/>
      <c r="EQ49" s="89"/>
      <c r="ER49" s="89"/>
      <c r="ES49" s="99"/>
      <c r="EV49" s="89"/>
      <c r="EW49" s="95"/>
      <c r="EX49" s="47"/>
      <c r="EY49" s="95"/>
      <c r="EZ49" s="95"/>
      <c r="FA49" s="95"/>
      <c r="FB49" s="47"/>
      <c r="FC49" s="95"/>
      <c r="FD49" s="47"/>
      <c r="FE49" s="95"/>
      <c r="FF49" s="47"/>
      <c r="FG49" s="95"/>
      <c r="FH49" s="95"/>
      <c r="FI49" s="95"/>
      <c r="FJ49" s="28"/>
      <c r="FK49" s="89"/>
      <c r="FL49" s="89"/>
      <c r="FM49" s="28"/>
      <c r="FN49" s="89"/>
      <c r="FO49" s="89"/>
      <c r="FP49" s="89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31"/>
      <c r="GG49" s="88"/>
      <c r="GH49" s="89"/>
      <c r="GI49" s="89"/>
      <c r="GJ49" s="89"/>
      <c r="GK49" s="89"/>
      <c r="GL49" s="89"/>
      <c r="GM49" s="89"/>
      <c r="GN49" s="89"/>
      <c r="GO49" s="89"/>
      <c r="GP49" s="89"/>
      <c r="GQ49" s="89"/>
      <c r="GR49" s="174"/>
      <c r="GS49" s="89"/>
      <c r="GT49" s="89"/>
      <c r="GU49" s="89"/>
      <c r="GV49" s="89"/>
      <c r="GW49" s="99"/>
      <c r="GZ49" s="89"/>
      <c r="HA49" s="95"/>
      <c r="HB49" s="47"/>
      <c r="HC49" s="95"/>
      <c r="HD49" s="95"/>
      <c r="HE49" s="95"/>
      <c r="HF49" s="47"/>
      <c r="HG49" s="95"/>
      <c r="HH49" s="47"/>
      <c r="HI49" s="95"/>
      <c r="HJ49" s="47"/>
      <c r="HK49" s="95"/>
      <c r="HL49" s="95"/>
      <c r="HM49" s="95"/>
      <c r="HN49" s="28"/>
      <c r="HO49" s="89"/>
      <c r="HP49" s="89"/>
      <c r="HQ49" s="28"/>
      <c r="HR49" s="89"/>
      <c r="HS49" s="89"/>
      <c r="HT49" s="89"/>
      <c r="HU49" s="28"/>
      <c r="HV49" s="28"/>
      <c r="HW49" s="28"/>
      <c r="HX49" s="28"/>
      <c r="HY49" s="89" t="s">
        <v>134</v>
      </c>
      <c r="HZ49" s="28" t="s">
        <v>129</v>
      </c>
      <c r="IB49" s="28"/>
      <c r="IC49" s="28"/>
      <c r="ID49" s="89"/>
      <c r="IE49" s="28"/>
      <c r="IF49" s="28"/>
      <c r="IG49" s="28"/>
      <c r="IH49" s="28"/>
      <c r="II49" s="28"/>
      <c r="IJ49" s="31"/>
    </row>
    <row r="50" spans="10:244" ht="12.75">
      <c r="J50" s="27"/>
      <c r="K50" s="36" t="s">
        <v>56</v>
      </c>
      <c r="L50" s="36" t="s">
        <v>56</v>
      </c>
      <c r="M50" s="36" t="s">
        <v>58</v>
      </c>
      <c r="N50" s="29"/>
      <c r="O50" s="206" t="s">
        <v>49</v>
      </c>
      <c r="P50" s="207"/>
      <c r="Q50" s="207"/>
      <c r="R50" s="208"/>
      <c r="S50" s="31"/>
      <c r="U50" s="27"/>
      <c r="V50" s="28"/>
      <c r="W50" s="89"/>
      <c r="X50" s="3" t="s">
        <v>5</v>
      </c>
      <c r="Y50" s="3"/>
      <c r="Z50" s="3"/>
      <c r="AA50" s="3"/>
      <c r="AB50" s="3"/>
      <c r="AC50" s="3"/>
      <c r="AD50" s="3"/>
      <c r="AE50" s="3"/>
      <c r="AG50" s="3"/>
      <c r="AH50" s="3"/>
      <c r="AI50" s="3"/>
      <c r="AJ50" s="3"/>
      <c r="AK50" s="150"/>
      <c r="AN50" s="89"/>
      <c r="AO50" s="15" t="s">
        <v>5</v>
      </c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28"/>
      <c r="BC50" s="89"/>
      <c r="BD50" s="89"/>
      <c r="BE50" s="28"/>
      <c r="BF50" s="89"/>
      <c r="BG50" s="89"/>
      <c r="BH50" s="89"/>
      <c r="BI50" s="28"/>
      <c r="BJ50" s="28"/>
      <c r="BK50" s="28"/>
      <c r="BL50" s="28"/>
      <c r="BM50" s="28"/>
      <c r="BN50" s="28"/>
      <c r="BO50" s="28"/>
      <c r="BP50" s="28"/>
      <c r="BQ50" s="28"/>
      <c r="BR50" s="186" t="e">
        <f>((M52*12)/$Q$26)</f>
        <v>#VALUE!</v>
      </c>
      <c r="BS50" s="28"/>
      <c r="BT50" s="28"/>
      <c r="BU50" s="28"/>
      <c r="BV50" s="31"/>
      <c r="BX50" s="27"/>
      <c r="BY50" s="28"/>
      <c r="BZ50" s="89"/>
      <c r="CA50" s="3" t="s">
        <v>5</v>
      </c>
      <c r="CB50" s="3"/>
      <c r="CC50" s="3"/>
      <c r="CD50" s="3"/>
      <c r="CE50" s="3"/>
      <c r="CF50" s="3"/>
      <c r="CG50" s="3"/>
      <c r="CH50" s="3"/>
      <c r="CJ50" s="3"/>
      <c r="CK50" s="3"/>
      <c r="CL50" s="3"/>
      <c r="CM50" s="3"/>
      <c r="CN50" s="150"/>
      <c r="CQ50" s="89"/>
      <c r="CR50" s="15" t="s">
        <v>5</v>
      </c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28"/>
      <c r="DF50" s="89"/>
      <c r="DG50" s="89"/>
      <c r="DH50" s="28"/>
      <c r="DI50" s="89"/>
      <c r="DJ50" s="89"/>
      <c r="DK50" s="89"/>
      <c r="DL50" s="28"/>
      <c r="DM50" s="28"/>
      <c r="DN50" s="28"/>
      <c r="DO50" s="28"/>
      <c r="DP50" s="28"/>
      <c r="DQ50" s="28"/>
      <c r="DR50" s="28"/>
      <c r="DS50" s="28"/>
      <c r="DT50" s="28"/>
      <c r="DU50" s="89"/>
      <c r="DV50" s="28"/>
      <c r="DW50" s="28"/>
      <c r="DX50" s="28"/>
      <c r="DY50" s="28"/>
      <c r="DZ50" s="28"/>
      <c r="EA50" s="31"/>
      <c r="EC50" s="27"/>
      <c r="ED50" s="28"/>
      <c r="EE50" s="89"/>
      <c r="EF50" s="3" t="s">
        <v>5</v>
      </c>
      <c r="EG50" s="3"/>
      <c r="EH50" s="3"/>
      <c r="EI50" s="3"/>
      <c r="EJ50" s="3"/>
      <c r="EK50" s="3"/>
      <c r="EL50" s="3"/>
      <c r="EM50" s="3"/>
      <c r="EO50" s="3"/>
      <c r="EP50" s="3"/>
      <c r="EQ50" s="3"/>
      <c r="ER50" s="3"/>
      <c r="ES50" s="179"/>
      <c r="EV50" s="89"/>
      <c r="EW50" s="15" t="s">
        <v>5</v>
      </c>
      <c r="EX50" s="177"/>
      <c r="EY50" s="15"/>
      <c r="EZ50" s="15"/>
      <c r="FA50" s="15"/>
      <c r="FB50" s="177"/>
      <c r="FC50" s="15"/>
      <c r="FD50" s="177"/>
      <c r="FE50" s="15"/>
      <c r="FF50" s="177"/>
      <c r="FG50" s="15"/>
      <c r="FH50" s="15"/>
      <c r="FI50" s="15"/>
      <c r="FJ50" s="28"/>
      <c r="FK50" s="89"/>
      <c r="FL50" s="89"/>
      <c r="FM50" s="28"/>
      <c r="FN50" s="89"/>
      <c r="FO50" s="89"/>
      <c r="FP50" s="89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31"/>
      <c r="GG50" s="27"/>
      <c r="GH50" s="28"/>
      <c r="GI50" s="89"/>
      <c r="GJ50" s="3" t="s">
        <v>5</v>
      </c>
      <c r="GK50" s="3"/>
      <c r="GL50" s="3"/>
      <c r="GM50" s="3"/>
      <c r="GN50" s="3"/>
      <c r="GO50" s="3"/>
      <c r="GP50" s="3"/>
      <c r="GQ50" s="3"/>
      <c r="GR50" s="174"/>
      <c r="GS50" s="3"/>
      <c r="GT50" s="3"/>
      <c r="GU50" s="3"/>
      <c r="GV50" s="3"/>
      <c r="GW50" s="179"/>
      <c r="GZ50" s="89"/>
      <c r="HA50" s="15" t="s">
        <v>5</v>
      </c>
      <c r="HB50" s="177"/>
      <c r="HC50" s="15"/>
      <c r="HD50" s="15"/>
      <c r="HE50" s="15"/>
      <c r="HF50" s="177"/>
      <c r="HG50" s="15"/>
      <c r="HH50" s="177"/>
      <c r="HI50" s="15"/>
      <c r="HJ50" s="177"/>
      <c r="HK50" s="15"/>
      <c r="HL50" s="15"/>
      <c r="HM50" s="15"/>
      <c r="HN50" s="28"/>
      <c r="HO50" s="89"/>
      <c r="HP50" s="89"/>
      <c r="HQ50" s="28"/>
      <c r="HR50" s="89"/>
      <c r="HS50" s="89"/>
      <c r="HT50" s="89"/>
      <c r="HU50" s="28"/>
      <c r="HV50" s="28"/>
      <c r="HW50" s="28"/>
      <c r="HX50" s="28"/>
      <c r="HY50" s="89" t="s">
        <v>135</v>
      </c>
      <c r="HZ50" s="28" t="s">
        <v>129</v>
      </c>
      <c r="IB50" s="28"/>
      <c r="IC50" s="28"/>
      <c r="ID50" s="89"/>
      <c r="IE50" s="28"/>
      <c r="IF50" s="28"/>
      <c r="IG50" s="28"/>
      <c r="IH50" s="28"/>
      <c r="II50" s="28"/>
      <c r="IJ50" s="31"/>
    </row>
    <row r="51" spans="10:244" ht="12.75">
      <c r="J51" s="30" t="s">
        <v>30</v>
      </c>
      <c r="K51" s="29" t="s">
        <v>22</v>
      </c>
      <c r="L51" s="29" t="s">
        <v>57</v>
      </c>
      <c r="M51" s="67" t="s">
        <v>59</v>
      </c>
      <c r="N51" s="28"/>
      <c r="O51" s="70"/>
      <c r="P51" s="187" t="s">
        <v>124</v>
      </c>
      <c r="Q51" s="73" t="str">
        <f>Q25</f>
        <v>Semi-Monthly</v>
      </c>
      <c r="R51" s="71"/>
      <c r="S51" s="31"/>
      <c r="U51" s="27"/>
      <c r="V51" s="28"/>
      <c r="W51" s="89"/>
      <c r="X51" s="4">
        <v>500</v>
      </c>
      <c r="Y51" s="4">
        <v>1000</v>
      </c>
      <c r="Z51" s="4">
        <v>1500</v>
      </c>
      <c r="AA51" s="4">
        <v>2000</v>
      </c>
      <c r="AB51" s="4">
        <v>2500</v>
      </c>
      <c r="AC51" s="4">
        <v>3000</v>
      </c>
      <c r="AD51" s="4">
        <v>3500</v>
      </c>
      <c r="AE51" s="4">
        <v>4000</v>
      </c>
      <c r="AF51" s="112">
        <v>4500</v>
      </c>
      <c r="AG51" s="4">
        <v>5000</v>
      </c>
      <c r="AH51" s="4">
        <v>6000</v>
      </c>
      <c r="AI51" s="4">
        <v>6500</v>
      </c>
      <c r="AJ51" s="4">
        <v>7000</v>
      </c>
      <c r="AK51" s="151">
        <v>7500</v>
      </c>
      <c r="AL51" s="112">
        <v>8000</v>
      </c>
      <c r="AM51" s="112">
        <v>10000</v>
      </c>
      <c r="AN51" s="89"/>
      <c r="AO51" s="4">
        <v>200</v>
      </c>
      <c r="AP51" s="4">
        <v>250</v>
      </c>
      <c r="AQ51" s="4">
        <v>500</v>
      </c>
      <c r="AR51" s="4">
        <v>750</v>
      </c>
      <c r="AS51" s="4">
        <v>1000</v>
      </c>
      <c r="AT51" s="4">
        <v>1250</v>
      </c>
      <c r="AU51" s="4">
        <v>1500</v>
      </c>
      <c r="AV51" s="4">
        <v>1750</v>
      </c>
      <c r="AW51" s="4">
        <v>2000</v>
      </c>
      <c r="AX51" s="4">
        <v>2250</v>
      </c>
      <c r="AY51" s="4">
        <v>2500</v>
      </c>
      <c r="AZ51" s="4"/>
      <c r="BA51" s="4"/>
      <c r="BB51" s="28"/>
      <c r="BC51" s="20">
        <v>15</v>
      </c>
      <c r="BD51" s="20">
        <v>20</v>
      </c>
      <c r="BE51" s="28"/>
      <c r="BF51" s="20">
        <v>100</v>
      </c>
      <c r="BG51" s="20">
        <v>200</v>
      </c>
      <c r="BH51" s="20">
        <v>500</v>
      </c>
      <c r="BI51" s="28"/>
      <c r="BJ51" s="28"/>
      <c r="BK51" s="28"/>
      <c r="BL51" s="28"/>
      <c r="BM51" s="28"/>
      <c r="BN51" s="28"/>
      <c r="BO51" s="28"/>
      <c r="BP51" s="28"/>
      <c r="BQ51" s="28"/>
      <c r="BR51" s="186" t="e">
        <f>((M53*12)/$Q$26)</f>
        <v>#VALUE!</v>
      </c>
      <c r="BS51" s="28"/>
      <c r="BT51" s="28"/>
      <c r="BU51" s="28"/>
      <c r="BV51" s="31"/>
      <c r="BX51" s="27"/>
      <c r="BY51" s="28"/>
      <c r="BZ51" s="89"/>
      <c r="CA51" s="4">
        <v>500</v>
      </c>
      <c r="CB51" s="4">
        <v>1000</v>
      </c>
      <c r="CC51" s="4">
        <v>1500</v>
      </c>
      <c r="CD51" s="4">
        <v>2000</v>
      </c>
      <c r="CE51" s="4">
        <v>2500</v>
      </c>
      <c r="CF51" s="4">
        <v>3000</v>
      </c>
      <c r="CG51" s="4">
        <v>3500</v>
      </c>
      <c r="CH51" s="4">
        <v>4000</v>
      </c>
      <c r="CI51" s="112">
        <v>4500</v>
      </c>
      <c r="CJ51" s="4">
        <v>5000</v>
      </c>
      <c r="CK51" s="4">
        <v>6000</v>
      </c>
      <c r="CL51" s="4">
        <v>6500</v>
      </c>
      <c r="CM51" s="4">
        <v>7000</v>
      </c>
      <c r="CN51" s="151">
        <v>7500</v>
      </c>
      <c r="CO51" s="112">
        <v>8000</v>
      </c>
      <c r="CP51" s="114">
        <v>10000</v>
      </c>
      <c r="CQ51" s="89"/>
      <c r="CR51" s="4">
        <v>200</v>
      </c>
      <c r="CS51" s="4">
        <v>250</v>
      </c>
      <c r="CT51" s="4">
        <v>500</v>
      </c>
      <c r="CU51" s="4">
        <v>750</v>
      </c>
      <c r="CV51" s="4">
        <v>1000</v>
      </c>
      <c r="CW51" s="4">
        <v>1250</v>
      </c>
      <c r="CX51" s="4">
        <v>1500</v>
      </c>
      <c r="CY51" s="4">
        <v>1750</v>
      </c>
      <c r="CZ51" s="4">
        <v>2000</v>
      </c>
      <c r="DA51" s="4">
        <v>2250</v>
      </c>
      <c r="DB51" s="4">
        <v>2500</v>
      </c>
      <c r="DC51" s="4"/>
      <c r="DD51" s="4"/>
      <c r="DE51" s="28"/>
      <c r="DF51" s="20">
        <v>15</v>
      </c>
      <c r="DG51" s="20">
        <v>20</v>
      </c>
      <c r="DH51" s="28"/>
      <c r="DI51" s="20">
        <v>100</v>
      </c>
      <c r="DJ51" s="20">
        <v>200</v>
      </c>
      <c r="DK51" s="20">
        <v>500</v>
      </c>
      <c r="DL51" s="28"/>
      <c r="DM51" s="28"/>
      <c r="DN51" s="28"/>
      <c r="DO51" s="28"/>
      <c r="DP51" s="28"/>
      <c r="DQ51" s="28"/>
      <c r="DR51" s="28"/>
      <c r="DS51" s="28"/>
      <c r="DT51" s="28"/>
      <c r="DU51" s="89"/>
      <c r="DV51" s="28"/>
      <c r="DW51" s="28"/>
      <c r="DX51" s="28"/>
      <c r="DY51" s="28"/>
      <c r="DZ51" s="28"/>
      <c r="EA51" s="31"/>
      <c r="EC51" s="27"/>
      <c r="ED51" s="28"/>
      <c r="EE51" s="89"/>
      <c r="EF51" s="4">
        <v>500</v>
      </c>
      <c r="EG51" s="4">
        <v>1000</v>
      </c>
      <c r="EH51" s="4">
        <v>1500</v>
      </c>
      <c r="EI51" s="4">
        <v>2000</v>
      </c>
      <c r="EJ51" s="4">
        <v>2500</v>
      </c>
      <c r="EK51" s="4">
        <v>3000</v>
      </c>
      <c r="EL51" s="4">
        <v>3500</v>
      </c>
      <c r="EM51" s="4">
        <v>4000</v>
      </c>
      <c r="EN51" s="112">
        <v>4500</v>
      </c>
      <c r="EO51" s="4">
        <v>5000</v>
      </c>
      <c r="EP51" s="4">
        <v>6000</v>
      </c>
      <c r="EQ51" s="4">
        <v>6500</v>
      </c>
      <c r="ER51" s="4">
        <v>7000</v>
      </c>
      <c r="ES51" s="112">
        <v>7500</v>
      </c>
      <c r="ET51" s="112">
        <v>8000</v>
      </c>
      <c r="EU51" s="112">
        <v>10000</v>
      </c>
      <c r="EV51" s="89"/>
      <c r="EW51" s="4">
        <v>200</v>
      </c>
      <c r="EX51" s="176">
        <v>250</v>
      </c>
      <c r="EY51" s="4">
        <v>500</v>
      </c>
      <c r="EZ51" s="4">
        <v>750</v>
      </c>
      <c r="FA51" s="4">
        <v>1000</v>
      </c>
      <c r="FB51" s="176">
        <v>1250</v>
      </c>
      <c r="FC51" s="4">
        <v>1500</v>
      </c>
      <c r="FD51" s="176">
        <v>1750</v>
      </c>
      <c r="FE51" s="4">
        <v>2000</v>
      </c>
      <c r="FF51" s="176">
        <v>2250</v>
      </c>
      <c r="FG51" s="4">
        <v>2500</v>
      </c>
      <c r="FH51" s="4"/>
      <c r="FI51" s="4"/>
      <c r="FJ51" s="28"/>
      <c r="FK51" s="20">
        <v>15</v>
      </c>
      <c r="FL51" s="20">
        <v>20</v>
      </c>
      <c r="FM51" s="28"/>
      <c r="FN51" s="20">
        <v>100</v>
      </c>
      <c r="FO51" s="20">
        <v>200</v>
      </c>
      <c r="FP51" s="20">
        <v>500</v>
      </c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/>
      <c r="GB51" s="28"/>
      <c r="GC51" s="28"/>
      <c r="GD51" s="28"/>
      <c r="GE51" s="31"/>
      <c r="GG51" s="27"/>
      <c r="GH51" s="28"/>
      <c r="GI51" s="89"/>
      <c r="GJ51" s="4">
        <v>500</v>
      </c>
      <c r="GK51" s="4">
        <v>1000</v>
      </c>
      <c r="GL51" s="4">
        <v>1500</v>
      </c>
      <c r="GM51" s="4">
        <v>2000</v>
      </c>
      <c r="GN51" s="4">
        <v>2500</v>
      </c>
      <c r="GO51" s="4">
        <v>3000</v>
      </c>
      <c r="GP51" s="4">
        <v>3500</v>
      </c>
      <c r="GQ51" s="4">
        <v>4000</v>
      </c>
      <c r="GR51" s="112">
        <v>4500</v>
      </c>
      <c r="GS51" s="4">
        <v>5000</v>
      </c>
      <c r="GT51" s="4">
        <v>6000</v>
      </c>
      <c r="GU51" s="4">
        <v>6500</v>
      </c>
      <c r="GV51" s="4">
        <v>7000</v>
      </c>
      <c r="GW51" s="112">
        <v>7500</v>
      </c>
      <c r="GX51" s="112">
        <v>8000</v>
      </c>
      <c r="GY51" s="112">
        <v>10000</v>
      </c>
      <c r="GZ51" s="89"/>
      <c r="HA51" s="4">
        <v>200</v>
      </c>
      <c r="HB51" s="176">
        <v>250</v>
      </c>
      <c r="HC51" s="4">
        <v>500</v>
      </c>
      <c r="HD51" s="4">
        <v>750</v>
      </c>
      <c r="HE51" s="4">
        <v>1000</v>
      </c>
      <c r="HF51" s="176">
        <v>1250</v>
      </c>
      <c r="HG51" s="4">
        <v>1500</v>
      </c>
      <c r="HH51" s="176">
        <v>1750</v>
      </c>
      <c r="HI51" s="4">
        <v>2000</v>
      </c>
      <c r="HJ51" s="176">
        <v>2250</v>
      </c>
      <c r="HK51" s="4">
        <v>2500</v>
      </c>
      <c r="HL51" s="4"/>
      <c r="HM51" s="4"/>
      <c r="HN51" s="28"/>
      <c r="HO51" s="20">
        <v>15</v>
      </c>
      <c r="HP51" s="20">
        <v>20</v>
      </c>
      <c r="HQ51" s="28"/>
      <c r="HR51" s="20">
        <v>100</v>
      </c>
      <c r="HS51" s="20">
        <v>200</v>
      </c>
      <c r="HT51" s="20">
        <v>500</v>
      </c>
      <c r="HU51" s="28"/>
      <c r="HV51" s="28"/>
      <c r="HW51" s="28"/>
      <c r="HX51" s="28"/>
      <c r="HY51" s="89" t="s">
        <v>66</v>
      </c>
      <c r="HZ51" s="191" t="s">
        <v>130</v>
      </c>
      <c r="IB51" s="28"/>
      <c r="IC51" s="28"/>
      <c r="ID51" s="89"/>
      <c r="IE51" s="28"/>
      <c r="IF51" s="28"/>
      <c r="IG51" s="28"/>
      <c r="IH51" s="28"/>
      <c r="II51" s="28"/>
      <c r="IJ51" s="31"/>
    </row>
    <row r="52" spans="10:244" ht="12.75">
      <c r="J52" s="51" t="s">
        <v>0</v>
      </c>
      <c r="K52" s="41">
        <f>(IF($J$48="",(K28+K34+K40),""))</f>
      </c>
      <c r="L52" s="42">
        <f>(IF($J$48="",(C99+G99+H99),""))</f>
      </c>
      <c r="M52" s="42" t="str">
        <f>IF($J$48="",D129,"N/A")</f>
        <v>N/A</v>
      </c>
      <c r="N52" s="41"/>
      <c r="O52" s="56"/>
      <c r="P52" s="42"/>
      <c r="Q52" s="42" t="str">
        <f>IF(M52="N/A","N/A",(BR50*((100-$L$12)/100)))</f>
        <v>N/A</v>
      </c>
      <c r="R52" s="43"/>
      <c r="S52" s="31"/>
      <c r="U52" s="5" t="s">
        <v>0</v>
      </c>
      <c r="V52" s="6"/>
      <c r="W52" s="89"/>
      <c r="X52" s="7">
        <v>5.91</v>
      </c>
      <c r="Y52" s="7">
        <v>11.51</v>
      </c>
      <c r="Z52" s="7">
        <v>16.8</v>
      </c>
      <c r="AA52" s="7">
        <v>21.85</v>
      </c>
      <c r="AB52" s="7">
        <v>26.52</v>
      </c>
      <c r="AC52" s="7">
        <v>31.08</v>
      </c>
      <c r="AD52" s="7">
        <v>35.51</v>
      </c>
      <c r="AE52" s="7">
        <v>39.69</v>
      </c>
      <c r="AF52" s="113">
        <v>43.85</v>
      </c>
      <c r="AG52" s="7">
        <v>48</v>
      </c>
      <c r="AH52" s="7">
        <v>55.82</v>
      </c>
      <c r="AI52" s="7">
        <v>59.54</v>
      </c>
      <c r="AJ52" s="7">
        <v>63.26</v>
      </c>
      <c r="AK52" s="152">
        <v>66.86</v>
      </c>
      <c r="AL52" s="113">
        <v>70.46</v>
      </c>
      <c r="AM52" s="113">
        <v>84.25</v>
      </c>
      <c r="AN52" s="89"/>
      <c r="AO52" s="7">
        <v>10.29</v>
      </c>
      <c r="AP52" s="7">
        <v>12.24</v>
      </c>
      <c r="AQ52" s="7">
        <v>22.03</v>
      </c>
      <c r="AR52" s="7">
        <v>26.42</v>
      </c>
      <c r="AS52" s="7">
        <v>29.11</v>
      </c>
      <c r="AT52" s="7">
        <v>32.89</v>
      </c>
      <c r="AU52" s="7">
        <v>36.68</v>
      </c>
      <c r="AV52" s="7">
        <v>39.3</v>
      </c>
      <c r="AW52" s="7">
        <v>41.92</v>
      </c>
      <c r="AX52" s="7">
        <v>44.02</v>
      </c>
      <c r="AY52" s="7">
        <v>46.12</v>
      </c>
      <c r="AZ52" s="7"/>
      <c r="BA52" s="7"/>
      <c r="BB52" s="28"/>
      <c r="BC52" s="7">
        <v>10.31</v>
      </c>
      <c r="BD52" s="7">
        <v>15.77</v>
      </c>
      <c r="BE52" s="28"/>
      <c r="BF52" s="7">
        <v>4.23</v>
      </c>
      <c r="BG52" s="7">
        <v>8</v>
      </c>
      <c r="BH52" s="7">
        <v>17.92</v>
      </c>
      <c r="BI52" s="28"/>
      <c r="BJ52" s="28"/>
      <c r="BK52" s="28"/>
      <c r="BL52" s="28"/>
      <c r="BM52" s="28"/>
      <c r="BN52" s="28"/>
      <c r="BO52" s="28"/>
      <c r="BP52" s="28"/>
      <c r="BQ52" s="28"/>
      <c r="BR52" s="186" t="e">
        <f>((M54*12)/$Q$26)</f>
        <v>#VALUE!</v>
      </c>
      <c r="BS52" s="28"/>
      <c r="BT52" s="28"/>
      <c r="BU52" s="28"/>
      <c r="BV52" s="31"/>
      <c r="BX52" s="5" t="s">
        <v>0</v>
      </c>
      <c r="BY52" s="6"/>
      <c r="BZ52" s="89"/>
      <c r="CA52" s="7">
        <v>6.4</v>
      </c>
      <c r="CB52" s="7">
        <v>12.47</v>
      </c>
      <c r="CC52" s="7">
        <v>18.2</v>
      </c>
      <c r="CD52" s="7">
        <v>23.67</v>
      </c>
      <c r="CE52" s="7">
        <v>28.73</v>
      </c>
      <c r="CF52" s="7">
        <v>33.67</v>
      </c>
      <c r="CG52" s="7">
        <v>38.47</v>
      </c>
      <c r="CH52" s="7">
        <v>43</v>
      </c>
      <c r="CI52" s="113">
        <v>47.5</v>
      </c>
      <c r="CJ52" s="7">
        <v>52</v>
      </c>
      <c r="CK52" s="7">
        <v>60.47</v>
      </c>
      <c r="CL52" s="7">
        <v>64.5</v>
      </c>
      <c r="CM52" s="7">
        <v>68.53</v>
      </c>
      <c r="CN52" s="152">
        <v>72.43</v>
      </c>
      <c r="CO52" s="113">
        <v>76.33</v>
      </c>
      <c r="CP52" s="113">
        <v>91.27</v>
      </c>
      <c r="CQ52" s="89"/>
      <c r="CR52" s="7">
        <v>11.14</v>
      </c>
      <c r="CS52" s="7">
        <v>13.26</v>
      </c>
      <c r="CT52" s="7">
        <v>23.86</v>
      </c>
      <c r="CU52" s="7">
        <v>28.62</v>
      </c>
      <c r="CV52" s="7">
        <v>31.53</v>
      </c>
      <c r="CW52" s="7">
        <v>35.63</v>
      </c>
      <c r="CX52" s="7">
        <v>39.73</v>
      </c>
      <c r="CY52" s="7">
        <v>42.58</v>
      </c>
      <c r="CZ52" s="7">
        <v>45.42</v>
      </c>
      <c r="DA52" s="7">
        <v>47.69</v>
      </c>
      <c r="DB52" s="7">
        <v>49.96</v>
      </c>
      <c r="DC52" s="7"/>
      <c r="DD52" s="7"/>
      <c r="DE52" s="28"/>
      <c r="DF52" s="7">
        <v>11.17</v>
      </c>
      <c r="DG52" s="7">
        <v>17.08</v>
      </c>
      <c r="DH52" s="28"/>
      <c r="DI52" s="7">
        <v>4.58</v>
      </c>
      <c r="DJ52" s="7">
        <v>8.67</v>
      </c>
      <c r="DK52" s="7">
        <v>19.42</v>
      </c>
      <c r="DL52" s="28"/>
      <c r="DM52" s="28"/>
      <c r="DN52" s="28"/>
      <c r="DO52" s="28"/>
      <c r="DP52" s="28"/>
      <c r="DQ52" s="28"/>
      <c r="DR52" s="28"/>
      <c r="DS52" s="28"/>
      <c r="DT52" s="28"/>
      <c r="DU52" s="89"/>
      <c r="DV52" s="28"/>
      <c r="DW52" s="28"/>
      <c r="DX52" s="28"/>
      <c r="DY52" s="28"/>
      <c r="DZ52" s="28"/>
      <c r="EA52" s="31"/>
      <c r="EC52" s="5" t="s">
        <v>0</v>
      </c>
      <c r="ED52" s="6"/>
      <c r="EE52" s="89"/>
      <c r="EF52" s="7">
        <v>13.17</v>
      </c>
      <c r="EG52" s="7">
        <v>24.63</v>
      </c>
      <c r="EH52" s="7">
        <v>28.98</v>
      </c>
      <c r="EI52" s="7">
        <v>32.3</v>
      </c>
      <c r="EJ52" s="7">
        <v>44.9</v>
      </c>
      <c r="EK52" s="7">
        <v>57.16</v>
      </c>
      <c r="EL52" s="7">
        <v>61.87</v>
      </c>
      <c r="EM52" s="7">
        <v>66.32</v>
      </c>
      <c r="EN52" s="113">
        <v>72.34</v>
      </c>
      <c r="EO52" s="7">
        <v>78.35</v>
      </c>
      <c r="EP52" s="7">
        <v>91.29</v>
      </c>
      <c r="EQ52" s="7">
        <v>96.62</v>
      </c>
      <c r="ER52" s="7">
        <v>101.96</v>
      </c>
      <c r="ES52" s="113">
        <v>106.93</v>
      </c>
      <c r="ET52" s="113">
        <v>111.91</v>
      </c>
      <c r="EU52" s="113">
        <v>128.7</v>
      </c>
      <c r="EV52" s="89"/>
      <c r="EW52" s="7">
        <v>12.77</v>
      </c>
      <c r="EX52" s="12">
        <v>15.19</v>
      </c>
      <c r="EY52" s="7">
        <v>27.33</v>
      </c>
      <c r="EZ52" s="7">
        <v>32.79</v>
      </c>
      <c r="FA52" s="7">
        <v>36.12</v>
      </c>
      <c r="FB52" s="12">
        <v>41.72</v>
      </c>
      <c r="FC52" s="7">
        <v>45.51</v>
      </c>
      <c r="FD52" s="12">
        <v>48.77</v>
      </c>
      <c r="FE52" s="7">
        <v>52.02</v>
      </c>
      <c r="FF52" s="12">
        <v>54.63</v>
      </c>
      <c r="FG52" s="7">
        <v>57.23</v>
      </c>
      <c r="FH52" s="7"/>
      <c r="FI52" s="7"/>
      <c r="FJ52" s="28"/>
      <c r="FK52" s="7">
        <v>12.79</v>
      </c>
      <c r="FL52" s="7">
        <v>19.57</v>
      </c>
      <c r="FM52" s="28"/>
      <c r="FN52" s="7">
        <v>5.25</v>
      </c>
      <c r="FO52" s="7">
        <v>9.93</v>
      </c>
      <c r="FP52" s="7">
        <v>22.24</v>
      </c>
      <c r="FQ52" s="28"/>
      <c r="FR52" s="28"/>
      <c r="FS52" s="28"/>
      <c r="FT52" s="28"/>
      <c r="FU52" s="28"/>
      <c r="FV52" s="28"/>
      <c r="FW52" s="28"/>
      <c r="FX52" s="28"/>
      <c r="FY52" s="28"/>
      <c r="FZ52" s="28"/>
      <c r="GA52" s="28"/>
      <c r="GB52" s="28"/>
      <c r="GC52" s="28"/>
      <c r="GD52" s="28"/>
      <c r="GE52" s="31"/>
      <c r="GG52" s="5" t="s">
        <v>0</v>
      </c>
      <c r="GH52" s="6"/>
      <c r="GI52" s="89"/>
      <c r="GJ52" s="7">
        <v>7.33</v>
      </c>
      <c r="GK52" s="7">
        <v>14.28</v>
      </c>
      <c r="GL52" s="7">
        <v>20.85</v>
      </c>
      <c r="GM52" s="7">
        <v>27.11</v>
      </c>
      <c r="GN52" s="7">
        <v>32.91</v>
      </c>
      <c r="GO52" s="7">
        <v>38.56</v>
      </c>
      <c r="GP52" s="7">
        <v>44.06</v>
      </c>
      <c r="GQ52" s="7">
        <v>49.25</v>
      </c>
      <c r="GR52" s="113">
        <v>54.41</v>
      </c>
      <c r="GS52" s="7">
        <v>59.56</v>
      </c>
      <c r="GT52" s="7">
        <v>69.26</v>
      </c>
      <c r="GU52" s="7">
        <v>73.88</v>
      </c>
      <c r="GV52" s="7">
        <v>78.5</v>
      </c>
      <c r="GW52" s="113">
        <v>82.97</v>
      </c>
      <c r="GX52" s="113">
        <v>87.44</v>
      </c>
      <c r="GY52" s="113">
        <v>104.54</v>
      </c>
      <c r="GZ52" s="89"/>
      <c r="HA52" s="7">
        <v>12.77</v>
      </c>
      <c r="HB52" s="12">
        <v>15.19</v>
      </c>
      <c r="HC52" s="7">
        <v>27.33</v>
      </c>
      <c r="HD52" s="7">
        <v>32.79</v>
      </c>
      <c r="HE52" s="7">
        <v>36.12</v>
      </c>
      <c r="HF52" s="12">
        <v>41.72</v>
      </c>
      <c r="HG52" s="7">
        <v>45.51</v>
      </c>
      <c r="HH52" s="12">
        <v>48.77</v>
      </c>
      <c r="HI52" s="7">
        <v>52.02</v>
      </c>
      <c r="HJ52" s="12">
        <v>54.63</v>
      </c>
      <c r="HK52" s="7">
        <v>57.23</v>
      </c>
      <c r="HL52" s="7"/>
      <c r="HM52" s="7"/>
      <c r="HN52" s="28"/>
      <c r="HO52" s="7">
        <v>12.79</v>
      </c>
      <c r="HP52" s="7">
        <v>19.57</v>
      </c>
      <c r="HQ52" s="28"/>
      <c r="HR52" s="7">
        <v>5.25</v>
      </c>
      <c r="HS52" s="7">
        <v>9.93</v>
      </c>
      <c r="HT52" s="7">
        <v>22.24</v>
      </c>
      <c r="HU52" s="28"/>
      <c r="HV52" s="28"/>
      <c r="HW52" s="28"/>
      <c r="HX52" s="28"/>
      <c r="HY52" s="89" t="s">
        <v>136</v>
      </c>
      <c r="HZ52" s="28" t="s">
        <v>129</v>
      </c>
      <c r="IB52" s="28"/>
      <c r="IC52" s="28"/>
      <c r="ID52" s="89"/>
      <c r="IE52" s="28"/>
      <c r="IF52" s="28"/>
      <c r="IG52" s="28"/>
      <c r="IH52" s="28"/>
      <c r="II52" s="28"/>
      <c r="IJ52" s="31"/>
    </row>
    <row r="53" spans="10:244" ht="12.75">
      <c r="J53" s="51" t="s">
        <v>53</v>
      </c>
      <c r="K53" s="41">
        <f>(IF($J$48="",(K29+K35+K41),""))</f>
      </c>
      <c r="L53" s="42">
        <f>(IF($J$48="",(C108+G108+H108),""))</f>
      </c>
      <c r="M53" s="42" t="str">
        <f>IF($J$48="",D130,"N/A")</f>
        <v>N/A</v>
      </c>
      <c r="N53" s="42"/>
      <c r="O53" s="56"/>
      <c r="P53" s="42"/>
      <c r="Q53" s="42" t="str">
        <f>IF(M52="N/A","N/A",IF($L$13&gt;0,((BR50*((100-$L$12)/100))+((BR51-$BR$50)*$L$13/100)),((BR50*((100-$L$12)/100))+((BR51-$BR$50)))))</f>
        <v>N/A</v>
      </c>
      <c r="R53" s="43"/>
      <c r="S53" s="31"/>
      <c r="U53" s="8" t="s">
        <v>1</v>
      </c>
      <c r="V53" s="9"/>
      <c r="W53" s="89"/>
      <c r="X53" s="7">
        <v>10.65</v>
      </c>
      <c r="Y53" s="7">
        <v>20.74</v>
      </c>
      <c r="Z53" s="7">
        <v>30.22</v>
      </c>
      <c r="AA53" s="7">
        <v>39.32</v>
      </c>
      <c r="AB53" s="7">
        <v>47.75</v>
      </c>
      <c r="AC53" s="7">
        <v>55.94</v>
      </c>
      <c r="AD53" s="7">
        <v>63.94</v>
      </c>
      <c r="AE53" s="7">
        <v>71.45</v>
      </c>
      <c r="AF53" s="113">
        <v>78.92</v>
      </c>
      <c r="AG53" s="7">
        <v>86.4</v>
      </c>
      <c r="AH53" s="7">
        <v>100.49</v>
      </c>
      <c r="AI53" s="7">
        <v>107.17</v>
      </c>
      <c r="AJ53" s="7">
        <v>113.85</v>
      </c>
      <c r="AK53" s="152">
        <v>120.34</v>
      </c>
      <c r="AL53" s="113">
        <v>126.83</v>
      </c>
      <c r="AM53" s="113">
        <v>151.63</v>
      </c>
      <c r="AN53" s="89"/>
      <c r="AO53" s="7">
        <v>18.54</v>
      </c>
      <c r="AP53" s="7">
        <v>22.05</v>
      </c>
      <c r="AQ53" s="7">
        <v>39.62</v>
      </c>
      <c r="AR53" s="7">
        <v>47.54</v>
      </c>
      <c r="AS53" s="7">
        <v>52.38</v>
      </c>
      <c r="AT53" s="7">
        <v>59.19</v>
      </c>
      <c r="AU53" s="7">
        <v>66</v>
      </c>
      <c r="AV53" s="7">
        <v>70.72</v>
      </c>
      <c r="AW53" s="7">
        <v>75.43</v>
      </c>
      <c r="AX53" s="7">
        <v>79.2</v>
      </c>
      <c r="AY53" s="7">
        <v>82.98</v>
      </c>
      <c r="AZ53" s="7"/>
      <c r="BA53" s="7"/>
      <c r="BB53" s="28"/>
      <c r="BC53" s="7">
        <v>12.31</v>
      </c>
      <c r="BD53" s="7">
        <v>21.46</v>
      </c>
      <c r="BE53" s="28"/>
      <c r="BF53" s="7">
        <v>5.85</v>
      </c>
      <c r="BG53" s="7">
        <v>11.08</v>
      </c>
      <c r="BH53" s="7">
        <v>24.69</v>
      </c>
      <c r="BI53" s="28"/>
      <c r="BJ53" s="28"/>
      <c r="BK53" s="28"/>
      <c r="BL53" s="28"/>
      <c r="BM53" s="28"/>
      <c r="BN53" s="28"/>
      <c r="BO53" s="28"/>
      <c r="BP53" s="28"/>
      <c r="BQ53" s="28"/>
      <c r="BR53" s="186" t="e">
        <f>((M55*12)/$Q$26)</f>
        <v>#VALUE!</v>
      </c>
      <c r="BS53" s="28"/>
      <c r="BT53" s="28"/>
      <c r="BU53" s="28"/>
      <c r="BV53" s="31"/>
      <c r="BX53" s="8" t="s">
        <v>1</v>
      </c>
      <c r="BY53" s="9"/>
      <c r="BZ53" s="89"/>
      <c r="CA53" s="7">
        <v>11.53</v>
      </c>
      <c r="CB53" s="7">
        <v>22.47</v>
      </c>
      <c r="CC53" s="7">
        <v>32.73</v>
      </c>
      <c r="CD53" s="7">
        <v>42.6</v>
      </c>
      <c r="CE53" s="7">
        <v>51.73</v>
      </c>
      <c r="CF53" s="7">
        <v>60.6</v>
      </c>
      <c r="CG53" s="7">
        <v>69.27</v>
      </c>
      <c r="CH53" s="7">
        <v>77.4</v>
      </c>
      <c r="CI53" s="113">
        <v>85.5</v>
      </c>
      <c r="CJ53" s="7">
        <v>93.6</v>
      </c>
      <c r="CK53" s="7">
        <v>108.87</v>
      </c>
      <c r="CL53" s="7">
        <v>116.1</v>
      </c>
      <c r="CM53" s="7">
        <v>123.33</v>
      </c>
      <c r="CN53" s="152">
        <v>130.37</v>
      </c>
      <c r="CO53" s="113">
        <v>137.4</v>
      </c>
      <c r="CP53" s="113">
        <v>164.27</v>
      </c>
      <c r="CQ53" s="89"/>
      <c r="CR53" s="7">
        <v>20.08</v>
      </c>
      <c r="CS53" s="7">
        <v>23.89</v>
      </c>
      <c r="CT53" s="7">
        <v>42.92</v>
      </c>
      <c r="CU53" s="7">
        <v>51.5</v>
      </c>
      <c r="CV53" s="7">
        <v>56.75</v>
      </c>
      <c r="CW53" s="7">
        <v>64.13</v>
      </c>
      <c r="CX53" s="7">
        <v>71.5</v>
      </c>
      <c r="CY53" s="7">
        <v>76.61</v>
      </c>
      <c r="CZ53" s="7">
        <v>81.72</v>
      </c>
      <c r="DA53" s="7">
        <v>85.8</v>
      </c>
      <c r="DB53" s="7">
        <v>89.89</v>
      </c>
      <c r="DC53" s="7"/>
      <c r="DD53" s="7"/>
      <c r="DE53" s="28"/>
      <c r="DF53" s="7">
        <v>13.33</v>
      </c>
      <c r="DG53" s="7">
        <v>23.25</v>
      </c>
      <c r="DH53" s="28"/>
      <c r="DI53" s="7">
        <v>6.33</v>
      </c>
      <c r="DJ53" s="7">
        <v>12</v>
      </c>
      <c r="DK53" s="7">
        <v>26.75</v>
      </c>
      <c r="DL53" s="28"/>
      <c r="DM53" s="28"/>
      <c r="DN53" s="28"/>
      <c r="DO53" s="28"/>
      <c r="DP53" s="28"/>
      <c r="DQ53" s="28"/>
      <c r="DR53" s="28"/>
      <c r="DS53" s="28"/>
      <c r="DT53" s="28"/>
      <c r="DU53" s="89"/>
      <c r="DV53" s="28"/>
      <c r="DW53" s="28"/>
      <c r="DX53" s="28"/>
      <c r="DY53" s="28"/>
      <c r="DZ53" s="28"/>
      <c r="EA53" s="31"/>
      <c r="EC53" s="8" t="s">
        <v>1</v>
      </c>
      <c r="ED53" s="9"/>
      <c r="EE53" s="89"/>
      <c r="EF53" s="7">
        <v>23.71</v>
      </c>
      <c r="EG53" s="7">
        <v>44.33</v>
      </c>
      <c r="EH53" s="7">
        <v>52.18</v>
      </c>
      <c r="EI53" s="7">
        <v>58.13</v>
      </c>
      <c r="EJ53" s="7">
        <v>80.83</v>
      </c>
      <c r="EK53" s="7">
        <v>102.86</v>
      </c>
      <c r="EL53" s="7">
        <v>111.37</v>
      </c>
      <c r="EM53" s="7">
        <v>119.36</v>
      </c>
      <c r="EN53" s="113">
        <v>130.18</v>
      </c>
      <c r="EO53" s="7">
        <v>141.01</v>
      </c>
      <c r="EP53" s="7">
        <v>164.32</v>
      </c>
      <c r="EQ53" s="7">
        <v>173.91</v>
      </c>
      <c r="ER53" s="7">
        <v>183.51</v>
      </c>
      <c r="ES53" s="113">
        <v>192.47</v>
      </c>
      <c r="ET53" s="113">
        <v>201.43</v>
      </c>
      <c r="EU53" s="113">
        <v>231.65</v>
      </c>
      <c r="EV53" s="89"/>
      <c r="EW53" s="7">
        <v>23</v>
      </c>
      <c r="EX53" s="12">
        <v>27.36</v>
      </c>
      <c r="EY53" s="7">
        <v>49.16</v>
      </c>
      <c r="EZ53" s="7">
        <v>58.99</v>
      </c>
      <c r="FA53" s="7">
        <v>65</v>
      </c>
      <c r="FB53" s="12">
        <v>75.08</v>
      </c>
      <c r="FC53" s="7">
        <v>81.9</v>
      </c>
      <c r="FD53" s="12">
        <v>87.75</v>
      </c>
      <c r="FE53" s="7">
        <v>93.6</v>
      </c>
      <c r="FF53" s="12">
        <v>98.28</v>
      </c>
      <c r="FG53" s="7">
        <v>102.96</v>
      </c>
      <c r="FH53" s="7"/>
      <c r="FI53" s="7"/>
      <c r="FJ53" s="28"/>
      <c r="FK53" s="7">
        <v>15.27</v>
      </c>
      <c r="FL53" s="7">
        <v>26.63</v>
      </c>
      <c r="FM53" s="28"/>
      <c r="FN53" s="7">
        <v>7.25</v>
      </c>
      <c r="FO53" s="7">
        <v>13.75</v>
      </c>
      <c r="FP53" s="7">
        <v>30.64</v>
      </c>
      <c r="FQ53" s="28"/>
      <c r="FR53" s="28"/>
      <c r="FS53" s="28"/>
      <c r="FT53" s="28"/>
      <c r="FU53" s="28"/>
      <c r="FV53" s="28"/>
      <c r="FW53" s="28"/>
      <c r="FX53" s="28"/>
      <c r="FY53" s="28"/>
      <c r="FZ53" s="28"/>
      <c r="GA53" s="28"/>
      <c r="GB53" s="28"/>
      <c r="GC53" s="28"/>
      <c r="GD53" s="28"/>
      <c r="GE53" s="31"/>
      <c r="GG53" s="8" t="s">
        <v>1</v>
      </c>
      <c r="GH53" s="9"/>
      <c r="GI53" s="89"/>
      <c r="GJ53" s="7">
        <v>13.21</v>
      </c>
      <c r="GK53" s="7">
        <v>25.73</v>
      </c>
      <c r="GL53" s="7">
        <v>37.49</v>
      </c>
      <c r="GM53" s="7">
        <v>48.8</v>
      </c>
      <c r="GN53" s="7">
        <v>59.26</v>
      </c>
      <c r="GO53" s="7">
        <v>69.41</v>
      </c>
      <c r="GP53" s="7">
        <v>79.34</v>
      </c>
      <c r="GQ53" s="7">
        <v>88.66</v>
      </c>
      <c r="GR53" s="113">
        <v>97.94</v>
      </c>
      <c r="GS53" s="7">
        <v>107.21</v>
      </c>
      <c r="GT53" s="7">
        <v>124.7</v>
      </c>
      <c r="GU53" s="7">
        <v>132.99</v>
      </c>
      <c r="GV53" s="7">
        <v>141.27</v>
      </c>
      <c r="GW53" s="113">
        <v>149.33</v>
      </c>
      <c r="GX53" s="113">
        <v>157.39</v>
      </c>
      <c r="GY53" s="113">
        <v>188.16</v>
      </c>
      <c r="GZ53" s="89"/>
      <c r="HA53" s="7">
        <v>23</v>
      </c>
      <c r="HB53" s="12">
        <v>27.36</v>
      </c>
      <c r="HC53" s="7">
        <v>49.16</v>
      </c>
      <c r="HD53" s="7">
        <v>58.99</v>
      </c>
      <c r="HE53" s="7">
        <v>65</v>
      </c>
      <c r="HF53" s="12">
        <v>75.08</v>
      </c>
      <c r="HG53" s="7">
        <v>81.9</v>
      </c>
      <c r="HH53" s="12">
        <v>87.75</v>
      </c>
      <c r="HI53" s="7">
        <v>93.6</v>
      </c>
      <c r="HJ53" s="12">
        <v>98.28</v>
      </c>
      <c r="HK53" s="7">
        <v>102.96</v>
      </c>
      <c r="HL53" s="7"/>
      <c r="HM53" s="7"/>
      <c r="HN53" s="28"/>
      <c r="HO53" s="7">
        <v>15.27</v>
      </c>
      <c r="HP53" s="7">
        <v>26.63</v>
      </c>
      <c r="HQ53" s="28"/>
      <c r="HR53" s="7">
        <v>7.25</v>
      </c>
      <c r="HS53" s="7">
        <v>13.75</v>
      </c>
      <c r="HT53" s="7">
        <v>30.64</v>
      </c>
      <c r="HU53" s="28"/>
      <c r="HV53" s="28"/>
      <c r="HW53" s="28"/>
      <c r="HX53" s="28"/>
      <c r="HY53" s="89" t="s">
        <v>137</v>
      </c>
      <c r="HZ53" s="28" t="s">
        <v>129</v>
      </c>
      <c r="IB53" s="28"/>
      <c r="IC53" s="28"/>
      <c r="ID53" s="89"/>
      <c r="IE53" s="28"/>
      <c r="IF53" s="28"/>
      <c r="IG53" s="28"/>
      <c r="IH53" s="28"/>
      <c r="II53" s="28"/>
      <c r="IJ53" s="31"/>
    </row>
    <row r="54" spans="10:244" ht="12.75">
      <c r="J54" s="51" t="s">
        <v>55</v>
      </c>
      <c r="K54" s="41">
        <f>(IF($J$48="",(K30+K36+K42),""))</f>
      </c>
      <c r="L54" s="42">
        <f>(IF($J$48="",(C117+G117+H117),""))</f>
      </c>
      <c r="M54" s="42" t="str">
        <f>IF($J$48="",D131,"N/A")</f>
        <v>N/A</v>
      </c>
      <c r="N54" s="42"/>
      <c r="O54" s="56"/>
      <c r="P54" s="42"/>
      <c r="Q54" s="42" t="str">
        <f>IF(M53="N/A","N/A",IF($L$13&gt;0,((BR50*((100-$L$12)/100))+((BR52-$BR$50)*$L$13/100)),((BR50*((100-$L$12)/100))+((BR52-$BR$50)))))</f>
        <v>N/A</v>
      </c>
      <c r="R54" s="43"/>
      <c r="S54" s="31"/>
      <c r="U54" s="8" t="s">
        <v>2</v>
      </c>
      <c r="V54" s="9"/>
      <c r="W54" s="89"/>
      <c r="X54" s="7">
        <v>9.72</v>
      </c>
      <c r="Y54" s="7">
        <v>18.95</v>
      </c>
      <c r="Z54" s="7">
        <v>27.63</v>
      </c>
      <c r="AA54" s="7">
        <v>35.94</v>
      </c>
      <c r="AB54" s="7">
        <v>43.63</v>
      </c>
      <c r="AC54" s="7">
        <v>51.14</v>
      </c>
      <c r="AD54" s="7">
        <v>58.46</v>
      </c>
      <c r="AE54" s="7">
        <v>65.35</v>
      </c>
      <c r="AF54" s="113">
        <v>72.18</v>
      </c>
      <c r="AG54" s="7">
        <v>79.02</v>
      </c>
      <c r="AH54" s="7">
        <v>91.88</v>
      </c>
      <c r="AI54" s="7">
        <v>98</v>
      </c>
      <c r="AJ54" s="7">
        <v>104.12</v>
      </c>
      <c r="AK54" s="152">
        <v>110.06</v>
      </c>
      <c r="AL54" s="113">
        <v>116</v>
      </c>
      <c r="AM54" s="113">
        <v>138.71</v>
      </c>
      <c r="AN54" s="89"/>
      <c r="AO54" s="7">
        <v>16.46</v>
      </c>
      <c r="AP54" s="7">
        <v>19.59</v>
      </c>
      <c r="AQ54" s="7">
        <v>35.23</v>
      </c>
      <c r="AR54" s="7">
        <v>42.31</v>
      </c>
      <c r="AS54" s="7">
        <v>46.62</v>
      </c>
      <c r="AT54" s="7">
        <v>52.68</v>
      </c>
      <c r="AU54" s="7">
        <v>58.74</v>
      </c>
      <c r="AV54" s="7">
        <v>62.93</v>
      </c>
      <c r="AW54" s="7">
        <v>67.12</v>
      </c>
      <c r="AX54" s="7">
        <v>70.48</v>
      </c>
      <c r="AY54" s="7">
        <v>73.83</v>
      </c>
      <c r="AZ54" s="7"/>
      <c r="BA54" s="7"/>
      <c r="BB54" s="28"/>
      <c r="BC54" s="7">
        <v>12.92</v>
      </c>
      <c r="BD54" s="7">
        <v>22.92</v>
      </c>
      <c r="BE54" s="28"/>
      <c r="BF54" s="7">
        <v>11.38</v>
      </c>
      <c r="BG54" s="7">
        <v>21.69</v>
      </c>
      <c r="BH54" s="7">
        <v>48.54</v>
      </c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31"/>
      <c r="BX54" s="8" t="s">
        <v>2</v>
      </c>
      <c r="BY54" s="9"/>
      <c r="BZ54" s="89"/>
      <c r="CA54" s="7">
        <v>10.53</v>
      </c>
      <c r="CB54" s="7">
        <v>20.53</v>
      </c>
      <c r="CC54" s="7">
        <v>29.93</v>
      </c>
      <c r="CD54" s="7">
        <v>38.93</v>
      </c>
      <c r="CE54" s="7">
        <v>47.27</v>
      </c>
      <c r="CF54" s="7">
        <v>55.4</v>
      </c>
      <c r="CG54" s="7">
        <v>63.33</v>
      </c>
      <c r="CH54" s="7">
        <v>70.8</v>
      </c>
      <c r="CI54" s="113">
        <v>78.2</v>
      </c>
      <c r="CJ54" s="7">
        <v>85.6</v>
      </c>
      <c r="CK54" s="7">
        <v>99.53</v>
      </c>
      <c r="CL54" s="7">
        <v>106.17</v>
      </c>
      <c r="CM54" s="7">
        <v>112.8</v>
      </c>
      <c r="CN54" s="152">
        <v>119.23</v>
      </c>
      <c r="CO54" s="113">
        <v>125.67</v>
      </c>
      <c r="CP54" s="113">
        <v>150.27</v>
      </c>
      <c r="CQ54" s="89"/>
      <c r="CR54" s="7">
        <v>17.83</v>
      </c>
      <c r="CS54" s="7">
        <v>21.22</v>
      </c>
      <c r="CT54" s="7">
        <v>38.17</v>
      </c>
      <c r="CU54" s="7">
        <v>45.83</v>
      </c>
      <c r="CV54" s="7">
        <v>50.5</v>
      </c>
      <c r="CW54" s="7">
        <v>57.07</v>
      </c>
      <c r="CX54" s="7">
        <v>63.63</v>
      </c>
      <c r="CY54" s="7">
        <v>68.18</v>
      </c>
      <c r="CZ54" s="7">
        <v>72.72</v>
      </c>
      <c r="DA54" s="7">
        <v>76.35</v>
      </c>
      <c r="DB54" s="7">
        <v>79.98</v>
      </c>
      <c r="DC54" s="7"/>
      <c r="DD54" s="7"/>
      <c r="DE54" s="28"/>
      <c r="DF54" s="7">
        <v>14</v>
      </c>
      <c r="DG54" s="7">
        <v>24.83</v>
      </c>
      <c r="DH54" s="28"/>
      <c r="DI54" s="7">
        <v>12.33</v>
      </c>
      <c r="DJ54" s="7">
        <v>23.5</v>
      </c>
      <c r="DK54" s="7">
        <v>52.58</v>
      </c>
      <c r="DL54" s="28"/>
      <c r="DM54" s="28"/>
      <c r="DN54" s="28"/>
      <c r="DO54" s="28"/>
      <c r="DP54" s="28"/>
      <c r="DQ54" s="28"/>
      <c r="DR54" s="28"/>
      <c r="DS54" s="28"/>
      <c r="DT54" s="28"/>
      <c r="DU54" s="89"/>
      <c r="DV54" s="28"/>
      <c r="DW54" s="28"/>
      <c r="DX54" s="28"/>
      <c r="DY54" s="28"/>
      <c r="DZ54" s="28"/>
      <c r="EA54" s="31"/>
      <c r="EC54" s="8" t="s">
        <v>2</v>
      </c>
      <c r="ED54" s="9"/>
      <c r="EE54" s="89"/>
      <c r="EF54" s="7">
        <v>26.63</v>
      </c>
      <c r="EG54" s="7">
        <v>46.05</v>
      </c>
      <c r="EH54" s="7">
        <v>52.92</v>
      </c>
      <c r="EI54" s="7">
        <v>60.37</v>
      </c>
      <c r="EJ54" s="7">
        <v>81.84</v>
      </c>
      <c r="EK54" s="7">
        <v>102.8</v>
      </c>
      <c r="EL54" s="7">
        <v>113.6</v>
      </c>
      <c r="EM54" s="7">
        <v>123.77</v>
      </c>
      <c r="EN54" s="113">
        <v>135.02</v>
      </c>
      <c r="EO54" s="7">
        <v>146.27</v>
      </c>
      <c r="EP54" s="7">
        <v>170.44</v>
      </c>
      <c r="EQ54" s="7">
        <v>180.4</v>
      </c>
      <c r="ER54" s="7">
        <v>190.35</v>
      </c>
      <c r="ES54" s="113">
        <v>199.64</v>
      </c>
      <c r="ET54" s="113">
        <v>208.93</v>
      </c>
      <c r="EU54" s="113">
        <v>240.27</v>
      </c>
      <c r="EV54" s="89"/>
      <c r="EW54" s="7">
        <v>20.43</v>
      </c>
      <c r="EX54" s="12">
        <v>24.31</v>
      </c>
      <c r="EY54" s="7">
        <v>43.72</v>
      </c>
      <c r="EZ54" s="7">
        <v>52.5</v>
      </c>
      <c r="FA54" s="7">
        <v>57.85</v>
      </c>
      <c r="FB54" s="12">
        <v>66.81</v>
      </c>
      <c r="FC54" s="7">
        <v>72.89</v>
      </c>
      <c r="FD54" s="12">
        <v>78.09</v>
      </c>
      <c r="FE54" s="7">
        <v>83.29</v>
      </c>
      <c r="FF54" s="12">
        <v>87.46</v>
      </c>
      <c r="FG54" s="7">
        <v>91.62</v>
      </c>
      <c r="FH54" s="7"/>
      <c r="FI54" s="7"/>
      <c r="FJ54" s="28"/>
      <c r="FK54" s="7">
        <v>16.04</v>
      </c>
      <c r="FL54" s="7">
        <v>28.45</v>
      </c>
      <c r="FM54" s="28"/>
      <c r="FN54" s="7">
        <v>14.13</v>
      </c>
      <c r="FO54" s="7">
        <v>26.92</v>
      </c>
      <c r="FP54" s="7">
        <v>60.23</v>
      </c>
      <c r="FQ54" s="28"/>
      <c r="FR54" s="28"/>
      <c r="FS54" s="28"/>
      <c r="FT54" s="28"/>
      <c r="FU54" s="28"/>
      <c r="FV54" s="28"/>
      <c r="FW54" s="28"/>
      <c r="FX54" s="28"/>
      <c r="FY54" s="28"/>
      <c r="FZ54" s="28"/>
      <c r="GA54" s="28"/>
      <c r="GB54" s="28"/>
      <c r="GC54" s="28"/>
      <c r="GD54" s="28"/>
      <c r="GE54" s="31"/>
      <c r="GG54" s="8" t="s">
        <v>2</v>
      </c>
      <c r="GH54" s="9"/>
      <c r="GI54" s="89"/>
      <c r="GJ54" s="7">
        <v>12.07</v>
      </c>
      <c r="GK54" s="7">
        <v>23.52</v>
      </c>
      <c r="GL54" s="7">
        <v>34.29</v>
      </c>
      <c r="GM54" s="7">
        <v>44.6</v>
      </c>
      <c r="GN54" s="7">
        <v>54.14</v>
      </c>
      <c r="GO54" s="7">
        <v>63.46</v>
      </c>
      <c r="GP54" s="7">
        <v>72.55</v>
      </c>
      <c r="GQ54" s="7">
        <v>81.1</v>
      </c>
      <c r="GR54" s="113">
        <v>89.57</v>
      </c>
      <c r="GS54" s="7">
        <v>98.05</v>
      </c>
      <c r="GT54" s="7">
        <v>114.01</v>
      </c>
      <c r="GU54" s="7">
        <v>121.61</v>
      </c>
      <c r="GV54" s="7">
        <v>129.21</v>
      </c>
      <c r="GW54" s="113">
        <v>136.58</v>
      </c>
      <c r="GX54" s="113">
        <v>143.95</v>
      </c>
      <c r="GY54" s="113">
        <v>172.12</v>
      </c>
      <c r="GZ54" s="89"/>
      <c r="HA54" s="7">
        <v>20.43</v>
      </c>
      <c r="HB54" s="12">
        <v>24.31</v>
      </c>
      <c r="HC54" s="7">
        <v>43.72</v>
      </c>
      <c r="HD54" s="7">
        <v>52.5</v>
      </c>
      <c r="HE54" s="7">
        <v>57.85</v>
      </c>
      <c r="HF54" s="12">
        <v>66.81</v>
      </c>
      <c r="HG54" s="7">
        <v>72.89</v>
      </c>
      <c r="HH54" s="12">
        <v>78.09</v>
      </c>
      <c r="HI54" s="7">
        <v>83.29</v>
      </c>
      <c r="HJ54" s="12">
        <v>87.46</v>
      </c>
      <c r="HK54" s="7">
        <v>91.62</v>
      </c>
      <c r="HL54" s="7"/>
      <c r="HM54" s="7"/>
      <c r="HN54" s="28"/>
      <c r="HO54" s="7">
        <v>16.04</v>
      </c>
      <c r="HP54" s="7">
        <v>28.45</v>
      </c>
      <c r="HQ54" s="28"/>
      <c r="HR54" s="7">
        <v>14.13</v>
      </c>
      <c r="HS54" s="7">
        <v>26.92</v>
      </c>
      <c r="HT54" s="7">
        <v>60.23</v>
      </c>
      <c r="HU54" s="28"/>
      <c r="HV54" s="28"/>
      <c r="HW54" s="28"/>
      <c r="HX54" s="28"/>
      <c r="HY54" s="89" t="s">
        <v>138</v>
      </c>
      <c r="HZ54" s="28" t="s">
        <v>129</v>
      </c>
      <c r="IB54" s="28"/>
      <c r="IC54" s="28"/>
      <c r="ID54" s="89"/>
      <c r="IE54" s="28"/>
      <c r="IF54" s="28"/>
      <c r="IG54" s="28"/>
      <c r="IH54" s="28"/>
      <c r="II54" s="28"/>
      <c r="IJ54" s="31"/>
    </row>
    <row r="55" spans="10:244" ht="12.75">
      <c r="J55" s="51" t="s">
        <v>54</v>
      </c>
      <c r="K55" s="41">
        <f>(IF($J$48="",(K31+K37+K43),""))</f>
      </c>
      <c r="L55" s="42">
        <f>(IF($J$48="",(C126+G126+H126),""))</f>
      </c>
      <c r="M55" s="42" t="str">
        <f>IF($J$48="",D132,"N/A")</f>
        <v>N/A</v>
      </c>
      <c r="N55" s="42"/>
      <c r="O55" s="59"/>
      <c r="P55" s="60"/>
      <c r="Q55" s="60" t="str">
        <f>IF(M54="N/A","N/A",IF($L$13&gt;0,((BR50*((100-$L$12)/100))+((BR53-$BR$50)*$L$13/100)),((BR50*((100-$L$12)/100))+((BR53-$BR$50)))))</f>
        <v>N/A</v>
      </c>
      <c r="R55" s="61"/>
      <c r="S55" s="31"/>
      <c r="U55" s="10" t="s">
        <v>3</v>
      </c>
      <c r="V55" s="11"/>
      <c r="W55" s="89"/>
      <c r="X55" s="7">
        <v>14.46</v>
      </c>
      <c r="Y55" s="7">
        <v>28.18</v>
      </c>
      <c r="Z55" s="7">
        <v>41.05</v>
      </c>
      <c r="AA55" s="7">
        <v>53.42</v>
      </c>
      <c r="AB55" s="7">
        <v>64.86</v>
      </c>
      <c r="AC55" s="7">
        <v>76</v>
      </c>
      <c r="AD55" s="7">
        <v>86.89</v>
      </c>
      <c r="AE55" s="7">
        <v>97.11</v>
      </c>
      <c r="AF55" s="113">
        <v>107.26</v>
      </c>
      <c r="AG55" s="7">
        <v>117.42</v>
      </c>
      <c r="AH55" s="7">
        <v>136.55</v>
      </c>
      <c r="AI55" s="7">
        <v>145.63</v>
      </c>
      <c r="AJ55" s="7">
        <v>154.71</v>
      </c>
      <c r="AK55" s="153">
        <v>163.54</v>
      </c>
      <c r="AL55" s="46">
        <v>172.37</v>
      </c>
      <c r="AM55" s="47">
        <v>206.09</v>
      </c>
      <c r="AN55" s="89"/>
      <c r="AO55" s="7">
        <v>24.36</v>
      </c>
      <c r="AP55" s="7">
        <v>29.11</v>
      </c>
      <c r="AQ55" s="7">
        <v>52.85</v>
      </c>
      <c r="AR55" s="7">
        <v>63.38</v>
      </c>
      <c r="AS55" s="7">
        <v>69.85</v>
      </c>
      <c r="AT55" s="7">
        <v>78.92</v>
      </c>
      <c r="AU55" s="7">
        <v>88</v>
      </c>
      <c r="AV55" s="7">
        <v>94.29</v>
      </c>
      <c r="AW55" s="7">
        <v>100.58</v>
      </c>
      <c r="AX55" s="7">
        <v>105.62</v>
      </c>
      <c r="AY55" s="7">
        <v>110.65</v>
      </c>
      <c r="AZ55" s="7"/>
      <c r="BA55" s="7"/>
      <c r="BB55" s="28"/>
      <c r="BC55" s="7">
        <v>14</v>
      </c>
      <c r="BD55" s="7">
        <v>25.85</v>
      </c>
      <c r="BE55" s="28"/>
      <c r="BF55" s="7">
        <v>12.15</v>
      </c>
      <c r="BG55" s="7">
        <v>23.15</v>
      </c>
      <c r="BH55" s="7">
        <v>51.77</v>
      </c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31"/>
      <c r="BX55" s="10" t="s">
        <v>3</v>
      </c>
      <c r="BY55" s="11"/>
      <c r="BZ55" s="89"/>
      <c r="CA55" s="7">
        <v>15.67</v>
      </c>
      <c r="CB55" s="7">
        <v>30.53</v>
      </c>
      <c r="CC55" s="7">
        <v>44.47</v>
      </c>
      <c r="CD55" s="7">
        <v>57.87</v>
      </c>
      <c r="CE55" s="7">
        <v>70.27</v>
      </c>
      <c r="CF55" s="7">
        <v>82.33</v>
      </c>
      <c r="CG55" s="7">
        <v>94.13</v>
      </c>
      <c r="CH55" s="7">
        <v>105.2</v>
      </c>
      <c r="CI55" s="113">
        <v>116.2</v>
      </c>
      <c r="CJ55" s="7">
        <v>127.2</v>
      </c>
      <c r="CK55" s="7">
        <v>147.93</v>
      </c>
      <c r="CL55" s="7">
        <v>157.77</v>
      </c>
      <c r="CM55" s="7">
        <v>167.6</v>
      </c>
      <c r="CN55" s="153">
        <v>177.17</v>
      </c>
      <c r="CO55" s="46">
        <v>186.73</v>
      </c>
      <c r="CP55" s="47">
        <v>223.27</v>
      </c>
      <c r="CQ55" s="89"/>
      <c r="CR55" s="7">
        <v>26.39</v>
      </c>
      <c r="CS55" s="7">
        <v>31.53</v>
      </c>
      <c r="CT55" s="7">
        <v>57.25</v>
      </c>
      <c r="CU55" s="7">
        <v>68.67</v>
      </c>
      <c r="CV55" s="7">
        <v>75.67</v>
      </c>
      <c r="CW55" s="7">
        <v>85.5</v>
      </c>
      <c r="CX55" s="7">
        <v>95.33</v>
      </c>
      <c r="CY55" s="7">
        <v>102.15</v>
      </c>
      <c r="CZ55" s="7">
        <v>108.97</v>
      </c>
      <c r="DA55" s="7">
        <v>114.42</v>
      </c>
      <c r="DB55" s="7">
        <v>119.87</v>
      </c>
      <c r="DC55" s="7"/>
      <c r="DD55" s="7"/>
      <c r="DE55" s="28"/>
      <c r="DF55" s="7">
        <v>15.17</v>
      </c>
      <c r="DG55" s="7">
        <v>28</v>
      </c>
      <c r="DH55" s="28"/>
      <c r="DI55" s="7">
        <v>13.17</v>
      </c>
      <c r="DJ55" s="7">
        <v>25.08</v>
      </c>
      <c r="DK55" s="7">
        <v>56.08</v>
      </c>
      <c r="DL55" s="28"/>
      <c r="DM55" s="28"/>
      <c r="DN55" s="28"/>
      <c r="DO55" s="28"/>
      <c r="DP55" s="28"/>
      <c r="DQ55" s="28"/>
      <c r="DR55" s="28"/>
      <c r="DS55" s="28"/>
      <c r="DT55" s="28"/>
      <c r="DU55" s="89"/>
      <c r="DV55" s="28"/>
      <c r="DW55" s="28"/>
      <c r="DX55" s="28"/>
      <c r="DY55" s="28"/>
      <c r="DZ55" s="28"/>
      <c r="EA55" s="31"/>
      <c r="EC55" s="10" t="s">
        <v>3</v>
      </c>
      <c r="ED55" s="11"/>
      <c r="EE55" s="89"/>
      <c r="EF55" s="7">
        <v>37.17</v>
      </c>
      <c r="EG55" s="7">
        <v>65.75</v>
      </c>
      <c r="EH55" s="7">
        <v>76.12</v>
      </c>
      <c r="EI55" s="7">
        <v>86.2</v>
      </c>
      <c r="EJ55" s="7">
        <v>117.78</v>
      </c>
      <c r="EK55" s="7">
        <v>148.51</v>
      </c>
      <c r="EL55" s="7">
        <v>163.11</v>
      </c>
      <c r="EM55" s="7">
        <v>176.8</v>
      </c>
      <c r="EN55" s="113">
        <v>192.87</v>
      </c>
      <c r="EO55" s="7">
        <v>208.93</v>
      </c>
      <c r="EP55" s="7">
        <v>243.47</v>
      </c>
      <c r="EQ55" s="7">
        <v>257.68</v>
      </c>
      <c r="ER55" s="7">
        <v>271.9</v>
      </c>
      <c r="ES55" s="46">
        <v>285.17</v>
      </c>
      <c r="ET55" s="46">
        <v>298.45</v>
      </c>
      <c r="EU55" s="47">
        <v>343.21</v>
      </c>
      <c r="EV55" s="89"/>
      <c r="EW55" s="7">
        <v>30.23</v>
      </c>
      <c r="EX55" s="12">
        <v>36.12</v>
      </c>
      <c r="EY55" s="7">
        <v>65.58</v>
      </c>
      <c r="EZ55" s="7">
        <v>78.65</v>
      </c>
      <c r="FA55" s="7">
        <v>86.67</v>
      </c>
      <c r="FB55" s="12">
        <v>100.1</v>
      </c>
      <c r="FC55" s="7">
        <v>109.2</v>
      </c>
      <c r="FD55" s="12">
        <v>117.01</v>
      </c>
      <c r="FE55" s="7">
        <v>124.82</v>
      </c>
      <c r="FF55" s="12">
        <v>131.06</v>
      </c>
      <c r="FG55" s="7">
        <v>137.31</v>
      </c>
      <c r="FH55" s="7"/>
      <c r="FI55" s="7"/>
      <c r="FJ55" s="28"/>
      <c r="FK55" s="7">
        <v>17.37</v>
      </c>
      <c r="FL55" s="7">
        <v>32.07</v>
      </c>
      <c r="FM55" s="28"/>
      <c r="FN55" s="7">
        <v>15.08</v>
      </c>
      <c r="FO55" s="7">
        <v>28.73</v>
      </c>
      <c r="FP55" s="7">
        <v>64.24</v>
      </c>
      <c r="FQ55" s="28"/>
      <c r="FR55" s="28"/>
      <c r="FS55" s="28"/>
      <c r="FT55" s="28"/>
      <c r="FU55" s="28"/>
      <c r="FV55" s="28"/>
      <c r="FW55" s="28"/>
      <c r="FX55" s="28"/>
      <c r="FY55" s="28"/>
      <c r="FZ55" s="28"/>
      <c r="GA55" s="28"/>
      <c r="GB55" s="28"/>
      <c r="GC55" s="28"/>
      <c r="GD55" s="28"/>
      <c r="GE55" s="31"/>
      <c r="GG55" s="10" t="s">
        <v>3</v>
      </c>
      <c r="GH55" s="11"/>
      <c r="GI55" s="89"/>
      <c r="GJ55" s="7">
        <v>17.95</v>
      </c>
      <c r="GK55" s="7">
        <v>34.97</v>
      </c>
      <c r="GL55" s="7">
        <v>50.93</v>
      </c>
      <c r="GM55" s="7">
        <v>66.28</v>
      </c>
      <c r="GN55" s="7">
        <v>80.49</v>
      </c>
      <c r="GO55" s="7">
        <v>94.31</v>
      </c>
      <c r="GP55" s="7">
        <v>107.83</v>
      </c>
      <c r="GQ55" s="7">
        <v>120.5</v>
      </c>
      <c r="GR55" s="113">
        <v>133.1</v>
      </c>
      <c r="GS55" s="7">
        <v>145.7</v>
      </c>
      <c r="GT55" s="7">
        <v>169.45</v>
      </c>
      <c r="GU55" s="7">
        <v>180.71</v>
      </c>
      <c r="GV55" s="7">
        <v>191.98</v>
      </c>
      <c r="GW55" s="46">
        <v>202.94</v>
      </c>
      <c r="GX55" s="46">
        <v>213.89</v>
      </c>
      <c r="GY55" s="47">
        <v>255.74</v>
      </c>
      <c r="GZ55" s="89"/>
      <c r="HA55" s="7">
        <v>30.23</v>
      </c>
      <c r="HB55" s="12">
        <v>36.12</v>
      </c>
      <c r="HC55" s="7">
        <v>65.58</v>
      </c>
      <c r="HD55" s="7">
        <v>78.65</v>
      </c>
      <c r="HE55" s="7">
        <v>86.67</v>
      </c>
      <c r="HF55" s="12">
        <v>100.1</v>
      </c>
      <c r="HG55" s="7">
        <v>109.2</v>
      </c>
      <c r="HH55" s="12">
        <v>117.01</v>
      </c>
      <c r="HI55" s="7">
        <v>124.82</v>
      </c>
      <c r="HJ55" s="12">
        <v>131.06</v>
      </c>
      <c r="HK55" s="7">
        <v>137.31</v>
      </c>
      <c r="HL55" s="7"/>
      <c r="HM55" s="7"/>
      <c r="HN55" s="28"/>
      <c r="HO55" s="7">
        <v>17.37</v>
      </c>
      <c r="HP55" s="7">
        <v>32.07</v>
      </c>
      <c r="HQ55" s="28"/>
      <c r="HR55" s="7">
        <v>15.08</v>
      </c>
      <c r="HS55" s="7">
        <v>28.73</v>
      </c>
      <c r="HT55" s="7">
        <v>64.24</v>
      </c>
      <c r="HU55" s="28"/>
      <c r="HV55" s="28"/>
      <c r="HW55" s="28"/>
      <c r="HX55" s="28"/>
      <c r="HY55" s="89" t="s">
        <v>139</v>
      </c>
      <c r="HZ55" s="28" t="s">
        <v>129</v>
      </c>
      <c r="IB55" s="28"/>
      <c r="IC55" s="28"/>
      <c r="ID55" s="89"/>
      <c r="IE55" s="28"/>
      <c r="IF55" s="28"/>
      <c r="IG55" s="28"/>
      <c r="IH55" s="28"/>
      <c r="II55" s="28"/>
      <c r="IJ55" s="31"/>
    </row>
    <row r="56" spans="10:244" ht="6" customHeight="1">
      <c r="J56" s="32"/>
      <c r="K56" s="28"/>
      <c r="L56" s="41"/>
      <c r="M56" s="41"/>
      <c r="N56" s="41"/>
      <c r="O56" s="41"/>
      <c r="P56" s="41"/>
      <c r="Q56" s="28"/>
      <c r="R56" s="28"/>
      <c r="S56" s="31"/>
      <c r="U56" s="27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G56" s="28"/>
      <c r="AH56" s="28"/>
      <c r="AI56" s="28"/>
      <c r="AJ56" s="28"/>
      <c r="AK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42" t="str">
        <f>M52</f>
        <v>N/A</v>
      </c>
      <c r="BS56" s="42" t="str">
        <f>M53</f>
        <v>N/A</v>
      </c>
      <c r="BT56" s="42" t="str">
        <f>M54</f>
        <v>N/A</v>
      </c>
      <c r="BU56" s="43" t="str">
        <f>M55</f>
        <v>N/A</v>
      </c>
      <c r="BV56" s="31"/>
      <c r="BX56" s="27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J56" s="28"/>
      <c r="CK56" s="28"/>
      <c r="CL56" s="28"/>
      <c r="CM56" s="28"/>
      <c r="CN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89"/>
      <c r="DV56" s="28"/>
      <c r="DW56" s="42" t="e">
        <f>#REF!</f>
        <v>#REF!</v>
      </c>
      <c r="DX56" s="42" t="e">
        <f>#REF!</f>
        <v>#REF!</v>
      </c>
      <c r="DY56" s="42" t="e">
        <f>#REF!</f>
        <v>#REF!</v>
      </c>
      <c r="DZ56" s="43" t="e">
        <f>#REF!</f>
        <v>#REF!</v>
      </c>
      <c r="EA56" s="31"/>
      <c r="EC56" s="27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O56" s="28"/>
      <c r="EP56" s="28"/>
      <c r="EQ56" s="28"/>
      <c r="ER56" s="28"/>
      <c r="ES56" s="28"/>
      <c r="EV56" s="28"/>
      <c r="EW56" s="28"/>
      <c r="EX56" s="28"/>
      <c r="EY56" s="28"/>
      <c r="EZ56" s="28"/>
      <c r="FA56" s="28"/>
      <c r="FB56" s="28"/>
      <c r="FC56" s="28"/>
      <c r="FD56" s="28"/>
      <c r="FE56" s="28"/>
      <c r="FF56" s="28"/>
      <c r="FG56" s="28"/>
      <c r="FH56" s="28"/>
      <c r="FI56" s="28"/>
      <c r="FJ56" s="28"/>
      <c r="FK56" s="28"/>
      <c r="FL56" s="28"/>
      <c r="FM56" s="28"/>
      <c r="FN56" s="28"/>
      <c r="FO56" s="28"/>
      <c r="FP56" s="28"/>
      <c r="FQ56" s="28"/>
      <c r="FR56" s="28"/>
      <c r="FS56" s="28"/>
      <c r="FT56" s="28"/>
      <c r="FU56" s="28"/>
      <c r="FV56" s="28"/>
      <c r="FW56" s="28"/>
      <c r="FX56" s="28"/>
      <c r="FY56" s="28"/>
      <c r="FZ56" s="28"/>
      <c r="GA56" s="42">
        <f>DU52</f>
        <v>0</v>
      </c>
      <c r="GB56" s="42">
        <f>DU53</f>
        <v>0</v>
      </c>
      <c r="GC56" s="42">
        <f>DU54</f>
        <v>0</v>
      </c>
      <c r="GD56" s="43">
        <f>DU55</f>
        <v>0</v>
      </c>
      <c r="GE56" s="31"/>
      <c r="GG56" s="27"/>
      <c r="GH56" s="28"/>
      <c r="GI56" s="28"/>
      <c r="GJ56" s="28"/>
      <c r="GK56" s="28"/>
      <c r="GL56" s="28"/>
      <c r="GM56" s="28"/>
      <c r="GN56" s="28"/>
      <c r="GO56" s="28"/>
      <c r="GP56" s="28"/>
      <c r="GQ56" s="28"/>
      <c r="GS56" s="28"/>
      <c r="GT56" s="28"/>
      <c r="GU56" s="28"/>
      <c r="GV56" s="28"/>
      <c r="GW56" s="28"/>
      <c r="GZ56" s="28"/>
      <c r="HA56" s="28"/>
      <c r="HB56" s="28"/>
      <c r="HC56" s="28"/>
      <c r="HD56" s="28"/>
      <c r="HE56" s="28"/>
      <c r="HF56" s="28"/>
      <c r="HG56" s="28"/>
      <c r="HH56" s="28"/>
      <c r="HI56" s="28"/>
      <c r="HJ56" s="28"/>
      <c r="HK56" s="28"/>
      <c r="HL56" s="28"/>
      <c r="HM56" s="28"/>
      <c r="HN56" s="28"/>
      <c r="HO56" s="28"/>
      <c r="HP56" s="28"/>
      <c r="HQ56" s="28"/>
      <c r="HR56" s="28"/>
      <c r="HS56" s="28"/>
      <c r="HT56" s="28"/>
      <c r="HU56" s="28"/>
      <c r="HV56" s="28"/>
      <c r="HW56" s="28"/>
      <c r="HX56" s="28"/>
      <c r="HY56" s="89" t="s">
        <v>140</v>
      </c>
      <c r="HZ56" s="28" t="s">
        <v>129</v>
      </c>
      <c r="IB56" s="28"/>
      <c r="IC56" s="28"/>
      <c r="ID56" s="89"/>
      <c r="IE56" s="28"/>
      <c r="IF56" s="42" t="e">
        <f>#REF!</f>
        <v>#REF!</v>
      </c>
      <c r="IG56" s="42" t="e">
        <f>#REF!</f>
        <v>#REF!</v>
      </c>
      <c r="IH56" s="42" t="e">
        <f>#REF!</f>
        <v>#REF!</v>
      </c>
      <c r="II56" s="43" t="e">
        <f>#REF!</f>
        <v>#REF!</v>
      </c>
      <c r="IJ56" s="31"/>
    </row>
    <row r="57" spans="10:244" ht="12.75" customHeight="1">
      <c r="J57" s="220" t="str">
        <f>IF($R$12="No","COMPOSITE RATING SHOULD NOT BE USED WHEN OFFERING DUAL OPTION PLANS","")</f>
        <v>COMPOSITE RATING SHOULD NOT BE USED WHEN OFFERING DUAL OPTION PLANS</v>
      </c>
      <c r="K57" s="221"/>
      <c r="L57" s="221"/>
      <c r="M57" s="221"/>
      <c r="N57" s="221"/>
      <c r="O57" s="221"/>
      <c r="P57" s="221"/>
      <c r="Q57" s="221"/>
      <c r="R57" s="221"/>
      <c r="S57" s="35"/>
      <c r="U57" s="27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G57" s="28"/>
      <c r="AH57" s="28"/>
      <c r="AI57" s="28"/>
      <c r="AJ57" s="28"/>
      <c r="AK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42" t="e">
        <f>(($BR$56*$O$26)/P$26)</f>
        <v>#VALUE!</v>
      </c>
      <c r="BS57" s="42" t="e">
        <f>(($BS$56*$O$26)/P$26)</f>
        <v>#VALUE!</v>
      </c>
      <c r="BT57" s="42" t="e">
        <f>(($BT$56*$O$26)/P$26)</f>
        <v>#VALUE!</v>
      </c>
      <c r="BU57" s="42" t="e">
        <f>(($BU$56*$O$26)/P$26)</f>
        <v>#VALUE!</v>
      </c>
      <c r="BV57" s="31"/>
      <c r="BX57" s="27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J57" s="28"/>
      <c r="CK57" s="28"/>
      <c r="CL57" s="28"/>
      <c r="CM57" s="28"/>
      <c r="CN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89"/>
      <c r="DV57" s="28"/>
      <c r="DW57" s="42" t="e">
        <f>(($BR$56*$O$26)/BS$26)</f>
        <v>#VALUE!</v>
      </c>
      <c r="DX57" s="42" t="e">
        <f>(($BS$56*$O$26)/BS$26)</f>
        <v>#VALUE!</v>
      </c>
      <c r="DY57" s="42" t="e">
        <f>(($BT$56*$O$26)/BS$26)</f>
        <v>#VALUE!</v>
      </c>
      <c r="DZ57" s="42" t="e">
        <f>(($BU$56*$O$26)/BS$26)</f>
        <v>#VALUE!</v>
      </c>
      <c r="EA57" s="31"/>
      <c r="EC57" s="27"/>
      <c r="ED57" s="28"/>
      <c r="EE57" s="28"/>
      <c r="EF57" s="28"/>
      <c r="EG57" s="28"/>
      <c r="EH57" s="28"/>
      <c r="EI57" s="28"/>
      <c r="EJ57" s="28"/>
      <c r="EK57" s="28"/>
      <c r="EL57" s="28"/>
      <c r="EM57" s="28"/>
      <c r="EO57" s="28"/>
      <c r="EP57" s="28"/>
      <c r="EQ57" s="28"/>
      <c r="ER57" s="28"/>
      <c r="ES57" s="28"/>
      <c r="EV57" s="28"/>
      <c r="EW57" s="28"/>
      <c r="EX57" s="28"/>
      <c r="EY57" s="28"/>
      <c r="EZ57" s="28"/>
      <c r="FA57" s="28"/>
      <c r="FB57" s="28"/>
      <c r="FC57" s="28"/>
      <c r="FD57" s="28"/>
      <c r="FE57" s="28"/>
      <c r="FF57" s="28"/>
      <c r="FG57" s="28"/>
      <c r="FH57" s="28"/>
      <c r="FI57" s="28"/>
      <c r="FJ57" s="28"/>
      <c r="FK57" s="28"/>
      <c r="FL57" s="28"/>
      <c r="FM57" s="28"/>
      <c r="FN57" s="28"/>
      <c r="FO57" s="28"/>
      <c r="FP57" s="28"/>
      <c r="FQ57" s="28"/>
      <c r="FR57" s="28"/>
      <c r="FS57" s="28"/>
      <c r="FT57" s="28"/>
      <c r="FU57" s="28"/>
      <c r="FV57" s="28"/>
      <c r="FW57" s="28"/>
      <c r="FX57" s="28"/>
      <c r="FY57" s="28"/>
      <c r="FZ57" s="28"/>
      <c r="GA57" s="42" t="e">
        <f>(($BR$56*$O$26)/DX$26)</f>
        <v>#VALUE!</v>
      </c>
      <c r="GB57" s="42" t="e">
        <f>(($BS$56*$O$26)/DX$26)</f>
        <v>#VALUE!</v>
      </c>
      <c r="GC57" s="42" t="e">
        <f>(($BT$56*$O$26)/DX$26)</f>
        <v>#VALUE!</v>
      </c>
      <c r="GD57" s="42" t="e">
        <f>(($BU$56*$O$26)/DX$26)</f>
        <v>#VALUE!</v>
      </c>
      <c r="GE57" s="31"/>
      <c r="GG57" s="27"/>
      <c r="GH57" s="28"/>
      <c r="GI57" s="28"/>
      <c r="GJ57" s="28"/>
      <c r="GK57" s="28"/>
      <c r="GL57" s="28"/>
      <c r="GM57" s="28"/>
      <c r="GN57" s="28"/>
      <c r="GO57" s="28"/>
      <c r="GP57" s="28"/>
      <c r="GQ57" s="28"/>
      <c r="GS57" s="28"/>
      <c r="GT57" s="28"/>
      <c r="GU57" s="28"/>
      <c r="GV57" s="28"/>
      <c r="GW57" s="28"/>
      <c r="GZ57" s="28"/>
      <c r="HA57" s="28"/>
      <c r="HB57" s="28"/>
      <c r="HC57" s="28"/>
      <c r="HD57" s="28"/>
      <c r="HE57" s="28"/>
      <c r="HF57" s="28"/>
      <c r="HG57" s="28"/>
      <c r="HH57" s="28"/>
      <c r="HI57" s="28"/>
      <c r="HJ57" s="28"/>
      <c r="HK57" s="28"/>
      <c r="HL57" s="28"/>
      <c r="HM57" s="28"/>
      <c r="HN57" s="28"/>
      <c r="HO57" s="28"/>
      <c r="HP57" s="28"/>
      <c r="HQ57" s="28"/>
      <c r="HR57" s="28"/>
      <c r="HS57" s="28"/>
      <c r="HT57" s="28"/>
      <c r="HU57" s="28"/>
      <c r="HV57" s="28"/>
      <c r="HW57" s="28"/>
      <c r="HX57" s="28"/>
      <c r="HY57" s="89" t="s">
        <v>141</v>
      </c>
      <c r="HZ57" s="28" t="s">
        <v>129</v>
      </c>
      <c r="IB57" s="28"/>
      <c r="IC57" s="28"/>
      <c r="ID57" s="89"/>
      <c r="IE57" s="28"/>
      <c r="IF57" s="42" t="e">
        <f>(($BR$56*$O$26)/GB$26)</f>
        <v>#VALUE!</v>
      </c>
      <c r="IG57" s="42" t="e">
        <f>(($BS$56*$O$26)/GB$26)</f>
        <v>#VALUE!</v>
      </c>
      <c r="IH57" s="42" t="e">
        <f>(($BT$56*$O$26)/GB$26)</f>
        <v>#VALUE!</v>
      </c>
      <c r="II57" s="42" t="e">
        <f>(($BU$56*$O$26)/GB$26)</f>
        <v>#VALUE!</v>
      </c>
      <c r="IJ57" s="31"/>
    </row>
    <row r="58" spans="9:244" ht="6" customHeight="1">
      <c r="I58" s="198"/>
      <c r="J58" s="199"/>
      <c r="K58" s="199"/>
      <c r="L58" s="199"/>
      <c r="M58" s="199"/>
      <c r="N58" s="199"/>
      <c r="O58" s="199"/>
      <c r="P58" s="199"/>
      <c r="Q58" s="199"/>
      <c r="R58" s="199"/>
      <c r="U58" s="27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G58" s="28"/>
      <c r="AH58" s="28"/>
      <c r="AI58" s="28"/>
      <c r="AJ58" s="28"/>
      <c r="AK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89"/>
      <c r="BG58" s="89"/>
      <c r="BH58" s="89"/>
      <c r="BI58" s="28"/>
      <c r="BJ58" s="28"/>
      <c r="BK58" s="28"/>
      <c r="BL58" s="28"/>
      <c r="BM58" s="28"/>
      <c r="BN58" s="28"/>
      <c r="BO58" s="28"/>
      <c r="BP58" s="28"/>
      <c r="BQ58" s="28"/>
      <c r="BR58" s="42" t="e">
        <f>(($BR$56*$O$26)/Q$26)</f>
        <v>#VALUE!</v>
      </c>
      <c r="BS58" s="42" t="e">
        <f>(($BS$56*$O$26)/Q$26)</f>
        <v>#VALUE!</v>
      </c>
      <c r="BT58" s="42" t="e">
        <f>(($BT$56*$O$26)/Q$26)</f>
        <v>#VALUE!</v>
      </c>
      <c r="BU58" s="42" t="e">
        <f>(($BU$56*$O$26)/Q$26)</f>
        <v>#VALUE!</v>
      </c>
      <c r="BV58" s="31"/>
      <c r="BX58" s="27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J58" s="28"/>
      <c r="CK58" s="28"/>
      <c r="CL58" s="28"/>
      <c r="CM58" s="28"/>
      <c r="CN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89"/>
      <c r="DJ58" s="89"/>
      <c r="DK58" s="89"/>
      <c r="DL58" s="28"/>
      <c r="DM58" s="28"/>
      <c r="DN58" s="28"/>
      <c r="DO58" s="28"/>
      <c r="DP58" s="28"/>
      <c r="DQ58" s="28"/>
      <c r="DR58" s="28"/>
      <c r="DS58" s="28"/>
      <c r="DT58" s="28"/>
      <c r="DU58" s="89"/>
      <c r="DV58" s="28"/>
      <c r="DW58" s="42" t="e">
        <f>(($BR$56*$O$26)/BT$26)</f>
        <v>#VALUE!</v>
      </c>
      <c r="DX58" s="42" t="e">
        <f>(($BS$56*$O$26)/BT$26)</f>
        <v>#VALUE!</v>
      </c>
      <c r="DY58" s="42" t="e">
        <f>(($BT$56*$O$26)/BT$26)</f>
        <v>#VALUE!</v>
      </c>
      <c r="DZ58" s="42" t="e">
        <f>(($BU$56*$O$26)/BT$26)</f>
        <v>#VALUE!</v>
      </c>
      <c r="EA58" s="31"/>
      <c r="EC58" s="27"/>
      <c r="ED58" s="28"/>
      <c r="EE58" s="28"/>
      <c r="EF58" s="28"/>
      <c r="EG58" s="28"/>
      <c r="EH58" s="28"/>
      <c r="EI58" s="28"/>
      <c r="EJ58" s="28"/>
      <c r="EK58" s="28"/>
      <c r="EL58" s="28"/>
      <c r="EM58" s="28"/>
      <c r="EO58" s="28"/>
      <c r="EP58" s="28"/>
      <c r="EQ58" s="28"/>
      <c r="ER58" s="28"/>
      <c r="ES58" s="28"/>
      <c r="EV58" s="28"/>
      <c r="EW58" s="28"/>
      <c r="EX58" s="28"/>
      <c r="EY58" s="28"/>
      <c r="EZ58" s="28"/>
      <c r="FA58" s="28"/>
      <c r="FB58" s="28"/>
      <c r="FC58" s="28"/>
      <c r="FD58" s="28"/>
      <c r="FE58" s="28"/>
      <c r="FF58" s="28"/>
      <c r="FG58" s="28"/>
      <c r="FH58" s="28"/>
      <c r="FI58" s="28"/>
      <c r="FJ58" s="28"/>
      <c r="FK58" s="28"/>
      <c r="FL58" s="28"/>
      <c r="FM58" s="28"/>
      <c r="FN58" s="89"/>
      <c r="FO58" s="89"/>
      <c r="FP58" s="89"/>
      <c r="FQ58" s="28"/>
      <c r="FR58" s="28"/>
      <c r="FS58" s="28"/>
      <c r="FT58" s="28"/>
      <c r="FU58" s="28"/>
      <c r="FV58" s="28"/>
      <c r="FW58" s="28"/>
      <c r="FX58" s="28"/>
      <c r="FY58" s="28"/>
      <c r="FZ58" s="28"/>
      <c r="GA58" s="42" t="e">
        <f>(($BR$56*$O$26)/DY$26)</f>
        <v>#VALUE!</v>
      </c>
      <c r="GB58" s="42" t="e">
        <f>(($BS$56*$O$26)/DY$26)</f>
        <v>#VALUE!</v>
      </c>
      <c r="GC58" s="42" t="e">
        <f>(($BT$56*$O$26)/DY$26)</f>
        <v>#VALUE!</v>
      </c>
      <c r="GD58" s="42" t="e">
        <f>(($BU$56*$O$26)/DY$26)</f>
        <v>#VALUE!</v>
      </c>
      <c r="GE58" s="31"/>
      <c r="GG58" s="27"/>
      <c r="GH58" s="28"/>
      <c r="GI58" s="28"/>
      <c r="GJ58" s="28"/>
      <c r="GK58" s="28"/>
      <c r="GL58" s="28"/>
      <c r="GM58" s="28"/>
      <c r="GN58" s="28"/>
      <c r="GO58" s="28"/>
      <c r="GP58" s="28"/>
      <c r="GQ58" s="28"/>
      <c r="GS58" s="28"/>
      <c r="GT58" s="28"/>
      <c r="GU58" s="28"/>
      <c r="GV58" s="28"/>
      <c r="GW58" s="28"/>
      <c r="GZ58" s="28"/>
      <c r="HA58" s="28"/>
      <c r="HB58" s="28"/>
      <c r="HC58" s="28"/>
      <c r="HD58" s="28"/>
      <c r="HE58" s="28"/>
      <c r="HF58" s="28"/>
      <c r="HG58" s="28"/>
      <c r="HH58" s="28"/>
      <c r="HI58" s="28"/>
      <c r="HJ58" s="28"/>
      <c r="HK58" s="28"/>
      <c r="HL58" s="28"/>
      <c r="HM58" s="28"/>
      <c r="HN58" s="28"/>
      <c r="HO58" s="28"/>
      <c r="HP58" s="28"/>
      <c r="HQ58" s="28"/>
      <c r="HR58" s="89"/>
      <c r="HS58" s="89"/>
      <c r="HT58" s="89"/>
      <c r="HU58" s="28"/>
      <c r="HV58" s="28"/>
      <c r="HW58" s="28"/>
      <c r="HX58" s="28"/>
      <c r="HY58" s="89" t="s">
        <v>142</v>
      </c>
      <c r="HZ58" s="28" t="s">
        <v>129</v>
      </c>
      <c r="IB58" s="28"/>
      <c r="IC58" s="28"/>
      <c r="ID58" s="89"/>
      <c r="IE58" s="28"/>
      <c r="IF58" s="42" t="e">
        <f>(($BR$56*$O$26)/GC$26)</f>
        <v>#VALUE!</v>
      </c>
      <c r="IG58" s="42" t="e">
        <f>(($BS$56*$O$26)/GC$26)</f>
        <v>#VALUE!</v>
      </c>
      <c r="IH58" s="42" t="e">
        <f>(($BT$56*$O$26)/GC$26)</f>
        <v>#VALUE!</v>
      </c>
      <c r="II58" s="42" t="e">
        <f>(($BU$56*$O$26)/GC$26)</f>
        <v>#VALUE!</v>
      </c>
      <c r="IJ58" s="31"/>
    </row>
    <row r="59" spans="9:244" ht="12.75" customHeight="1">
      <c r="I59" s="198" t="s">
        <v>125</v>
      </c>
      <c r="J59" s="199"/>
      <c r="K59" s="199"/>
      <c r="L59" s="199"/>
      <c r="M59" s="199"/>
      <c r="N59" s="199"/>
      <c r="O59" s="199"/>
      <c r="P59" s="199"/>
      <c r="Q59" s="199"/>
      <c r="R59" s="199"/>
      <c r="U59" s="27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G59" s="28"/>
      <c r="AH59" s="28"/>
      <c r="AI59" s="28"/>
      <c r="AJ59" s="28"/>
      <c r="AK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89"/>
      <c r="BG59" s="89"/>
      <c r="BH59" s="89"/>
      <c r="BI59" s="28"/>
      <c r="BJ59" s="28"/>
      <c r="BK59" s="28"/>
      <c r="BL59" s="28"/>
      <c r="BM59" s="28"/>
      <c r="BN59" s="28"/>
      <c r="BO59" s="28"/>
      <c r="BP59" s="28"/>
      <c r="BQ59" s="28"/>
      <c r="BR59" s="42" t="e">
        <f>(($BR$56*$O$26)/R$26)</f>
        <v>#VALUE!</v>
      </c>
      <c r="BS59" s="42" t="e">
        <f>(($BS$56*$O$26)/R$26)</f>
        <v>#VALUE!</v>
      </c>
      <c r="BT59" s="42" t="e">
        <f>(($BT$56*$O$26)/R$26)</f>
        <v>#VALUE!</v>
      </c>
      <c r="BU59" s="42" t="e">
        <f>(($BU$56*$O$26)/R$26)</f>
        <v>#VALUE!</v>
      </c>
      <c r="BV59" s="31"/>
      <c r="BX59" s="27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J59" s="28"/>
      <c r="CK59" s="28"/>
      <c r="CL59" s="28"/>
      <c r="CM59" s="28"/>
      <c r="CN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89"/>
      <c r="DJ59" s="89"/>
      <c r="DK59" s="89"/>
      <c r="DL59" s="28"/>
      <c r="DM59" s="28"/>
      <c r="DN59" s="28"/>
      <c r="DO59" s="28"/>
      <c r="DP59" s="28"/>
      <c r="DQ59" s="28"/>
      <c r="DR59" s="28"/>
      <c r="DS59" s="28"/>
      <c r="DT59" s="28"/>
      <c r="DU59" s="89"/>
      <c r="DV59" s="28"/>
      <c r="DW59" s="42" t="e">
        <f>(($BR$56*$O$26)/BU$26)</f>
        <v>#VALUE!</v>
      </c>
      <c r="DX59" s="42" t="e">
        <f>(($BS$56*$O$26)/BU$26)</f>
        <v>#VALUE!</v>
      </c>
      <c r="DY59" s="42" t="e">
        <f>(($BT$56*$O$26)/BU$26)</f>
        <v>#VALUE!</v>
      </c>
      <c r="DZ59" s="42" t="e">
        <f>(($BU$56*$O$26)/BU$26)</f>
        <v>#VALUE!</v>
      </c>
      <c r="EA59" s="31"/>
      <c r="EC59" s="27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O59" s="28"/>
      <c r="EP59" s="28"/>
      <c r="EQ59" s="28"/>
      <c r="ER59" s="28"/>
      <c r="ES59" s="28"/>
      <c r="EV59" s="28"/>
      <c r="EW59" s="28"/>
      <c r="EX59" s="28"/>
      <c r="EY59" s="28"/>
      <c r="EZ59" s="28"/>
      <c r="FA59" s="28"/>
      <c r="FB59" s="28"/>
      <c r="FC59" s="28"/>
      <c r="FD59" s="28"/>
      <c r="FE59" s="28"/>
      <c r="FF59" s="28"/>
      <c r="FG59" s="28"/>
      <c r="FH59" s="28"/>
      <c r="FI59" s="28"/>
      <c r="FJ59" s="28"/>
      <c r="FK59" s="28"/>
      <c r="FL59" s="28"/>
      <c r="FM59" s="28"/>
      <c r="FN59" s="89"/>
      <c r="FO59" s="89"/>
      <c r="FP59" s="89"/>
      <c r="FQ59" s="28"/>
      <c r="FR59" s="28"/>
      <c r="FS59" s="28"/>
      <c r="FT59" s="28"/>
      <c r="FU59" s="28"/>
      <c r="FV59" s="28"/>
      <c r="FW59" s="28"/>
      <c r="FX59" s="28"/>
      <c r="FY59" s="28"/>
      <c r="FZ59" s="28"/>
      <c r="GA59" s="42" t="e">
        <f>(($BR$56*$O$26)/DZ$26)</f>
        <v>#VALUE!</v>
      </c>
      <c r="GB59" s="42" t="e">
        <f>(($BS$56*$O$26)/DZ$26)</f>
        <v>#VALUE!</v>
      </c>
      <c r="GC59" s="42" t="e">
        <f>(($BT$56*$O$26)/DZ$26)</f>
        <v>#VALUE!</v>
      </c>
      <c r="GD59" s="42" t="e">
        <f>(($BU$56*$O$26)/DZ$26)</f>
        <v>#VALUE!</v>
      </c>
      <c r="GE59" s="31"/>
      <c r="GG59" s="27"/>
      <c r="GH59" s="28"/>
      <c r="GI59" s="28"/>
      <c r="GJ59" s="28"/>
      <c r="GK59" s="28"/>
      <c r="GL59" s="28"/>
      <c r="GM59" s="28"/>
      <c r="GN59" s="28"/>
      <c r="GO59" s="28"/>
      <c r="GP59" s="28"/>
      <c r="GQ59" s="28"/>
      <c r="GS59" s="28"/>
      <c r="GT59" s="28"/>
      <c r="GU59" s="28"/>
      <c r="GV59" s="28"/>
      <c r="GW59" s="28"/>
      <c r="GZ59" s="28"/>
      <c r="HA59" s="28"/>
      <c r="HB59" s="28"/>
      <c r="HC59" s="28"/>
      <c r="HD59" s="28"/>
      <c r="HE59" s="28"/>
      <c r="HF59" s="28"/>
      <c r="HG59" s="28"/>
      <c r="HH59" s="28"/>
      <c r="HI59" s="28"/>
      <c r="HJ59" s="28"/>
      <c r="HK59" s="28"/>
      <c r="HL59" s="28"/>
      <c r="HM59" s="28"/>
      <c r="HN59" s="28"/>
      <c r="HO59" s="28"/>
      <c r="HP59" s="28"/>
      <c r="HQ59" s="28"/>
      <c r="HR59" s="89"/>
      <c r="HS59" s="89"/>
      <c r="HT59" s="89"/>
      <c r="HU59" s="28"/>
      <c r="HV59" s="28"/>
      <c r="HW59" s="28"/>
      <c r="HX59" s="28"/>
      <c r="HY59" s="89" t="s">
        <v>67</v>
      </c>
      <c r="HZ59" s="191" t="s">
        <v>130</v>
      </c>
      <c r="IB59" s="28"/>
      <c r="IC59" s="28"/>
      <c r="ID59" s="89"/>
      <c r="IE59" s="28"/>
      <c r="IF59" s="42" t="e">
        <f>(($BR$56*$O$26)/GD$26)</f>
        <v>#VALUE!</v>
      </c>
      <c r="IG59" s="42" t="e">
        <f>(($BS$56*$O$26)/GD$26)</f>
        <v>#VALUE!</v>
      </c>
      <c r="IH59" s="42" t="e">
        <f>(($BT$56*$O$26)/GD$26)</f>
        <v>#VALUE!</v>
      </c>
      <c r="II59" s="42" t="e">
        <f>(($BU$56*$O$26)/GD$26)</f>
        <v>#VALUE!</v>
      </c>
      <c r="IJ59" s="31"/>
    </row>
    <row r="60" spans="9:244" ht="6" customHeight="1">
      <c r="I60" s="212"/>
      <c r="J60" s="212"/>
      <c r="K60" s="212"/>
      <c r="L60" s="212"/>
      <c r="M60" s="212"/>
      <c r="N60" s="212"/>
      <c r="O60" s="212"/>
      <c r="P60" s="212"/>
      <c r="Q60" s="212"/>
      <c r="R60" s="212"/>
      <c r="U60" s="33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G60" s="34"/>
      <c r="AH60" s="34"/>
      <c r="AI60" s="34"/>
      <c r="AJ60" s="34"/>
      <c r="AK60" s="28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5"/>
      <c r="BX60" s="33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J60" s="34"/>
      <c r="CK60" s="34"/>
      <c r="CL60" s="34"/>
      <c r="CM60" s="34"/>
      <c r="CN60" s="28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4"/>
      <c r="DU60" s="96"/>
      <c r="DV60" s="34"/>
      <c r="DW60" s="34"/>
      <c r="DX60" s="34"/>
      <c r="DY60" s="34"/>
      <c r="DZ60" s="34"/>
      <c r="EA60" s="35"/>
      <c r="EC60" s="33"/>
      <c r="ED60" s="34"/>
      <c r="EE60" s="34"/>
      <c r="EF60" s="34"/>
      <c r="EG60" s="34"/>
      <c r="EH60" s="34"/>
      <c r="EI60" s="34"/>
      <c r="EJ60" s="34"/>
      <c r="EK60" s="34"/>
      <c r="EL60" s="34"/>
      <c r="EM60" s="34"/>
      <c r="EO60" s="34"/>
      <c r="EP60" s="34"/>
      <c r="EQ60" s="34"/>
      <c r="ER60" s="34"/>
      <c r="ES60" s="28"/>
      <c r="EV60" s="34"/>
      <c r="EW60" s="34"/>
      <c r="EX60" s="34"/>
      <c r="EY60" s="34"/>
      <c r="EZ60" s="34"/>
      <c r="FA60" s="34"/>
      <c r="FB60" s="34"/>
      <c r="FC60" s="34"/>
      <c r="FD60" s="34"/>
      <c r="FE60" s="34"/>
      <c r="FF60" s="34"/>
      <c r="FG60" s="34"/>
      <c r="FH60" s="34"/>
      <c r="FI60" s="34"/>
      <c r="FJ60" s="34"/>
      <c r="FK60" s="34"/>
      <c r="FL60" s="34"/>
      <c r="FM60" s="34"/>
      <c r="FN60" s="34"/>
      <c r="FO60" s="34"/>
      <c r="FP60" s="34"/>
      <c r="FQ60" s="34"/>
      <c r="FR60" s="34"/>
      <c r="FS60" s="34"/>
      <c r="FT60" s="34"/>
      <c r="FU60" s="34"/>
      <c r="FV60" s="34"/>
      <c r="FW60" s="34"/>
      <c r="FX60" s="34"/>
      <c r="FY60" s="34"/>
      <c r="FZ60" s="34"/>
      <c r="GA60" s="34"/>
      <c r="GB60" s="34"/>
      <c r="GC60" s="34"/>
      <c r="GD60" s="34"/>
      <c r="GE60" s="35"/>
      <c r="GG60" s="27"/>
      <c r="GH60" s="28"/>
      <c r="GI60" s="28"/>
      <c r="GJ60" s="28"/>
      <c r="GK60" s="28"/>
      <c r="GL60" s="28"/>
      <c r="GM60" s="28"/>
      <c r="GN60" s="28"/>
      <c r="GO60" s="28"/>
      <c r="GP60" s="28"/>
      <c r="GQ60" s="28"/>
      <c r="GS60" s="28"/>
      <c r="GT60" s="28"/>
      <c r="GU60" s="28"/>
      <c r="GV60" s="28"/>
      <c r="GW60" s="28"/>
      <c r="GZ60" s="28"/>
      <c r="HA60" s="28"/>
      <c r="HB60" s="28"/>
      <c r="HC60" s="28"/>
      <c r="HD60" s="28"/>
      <c r="HE60" s="28"/>
      <c r="HF60" s="28"/>
      <c r="HG60" s="28"/>
      <c r="HH60" s="28"/>
      <c r="HI60" s="28"/>
      <c r="HJ60" s="28"/>
      <c r="HK60" s="28"/>
      <c r="HL60" s="28"/>
      <c r="HM60" s="28"/>
      <c r="HN60" s="28"/>
      <c r="HO60" s="28"/>
      <c r="HP60" s="28"/>
      <c r="HQ60" s="28"/>
      <c r="HR60" s="28"/>
      <c r="HS60" s="28"/>
      <c r="HT60" s="28"/>
      <c r="HU60" s="28"/>
      <c r="HV60" s="28"/>
      <c r="HW60" s="28"/>
      <c r="HX60" s="28"/>
      <c r="HY60" s="89" t="s">
        <v>68</v>
      </c>
      <c r="HZ60" s="191" t="s">
        <v>130</v>
      </c>
      <c r="IB60" s="28"/>
      <c r="IC60" s="28"/>
      <c r="ID60" s="89"/>
      <c r="IE60" s="28"/>
      <c r="IF60" s="28"/>
      <c r="IG60" s="28"/>
      <c r="IH60" s="28"/>
      <c r="II60" s="28"/>
      <c r="IJ60" s="31"/>
    </row>
    <row r="61" spans="9:244" ht="12.75" customHeight="1">
      <c r="I61" s="212" t="s">
        <v>31</v>
      </c>
      <c r="J61" s="212"/>
      <c r="K61" s="212"/>
      <c r="L61" s="212"/>
      <c r="M61" s="212"/>
      <c r="N61" s="212"/>
      <c r="O61" s="212"/>
      <c r="P61" s="212"/>
      <c r="Q61" s="212"/>
      <c r="R61" s="212"/>
      <c r="DU61" s="2"/>
      <c r="GG61" s="27"/>
      <c r="GH61" s="28"/>
      <c r="GI61" s="28"/>
      <c r="GJ61" s="28"/>
      <c r="GK61" s="28"/>
      <c r="GL61" s="28"/>
      <c r="GM61" s="28"/>
      <c r="GN61" s="28"/>
      <c r="GO61" s="28"/>
      <c r="GP61" s="28"/>
      <c r="GQ61" s="28"/>
      <c r="GS61" s="28"/>
      <c r="GT61" s="28"/>
      <c r="GU61" s="28"/>
      <c r="GV61" s="28"/>
      <c r="GW61" s="28"/>
      <c r="GZ61" s="28"/>
      <c r="HA61" s="28"/>
      <c r="HB61" s="28"/>
      <c r="HC61" s="28"/>
      <c r="HD61" s="28"/>
      <c r="HE61" s="28"/>
      <c r="HF61" s="28"/>
      <c r="HG61" s="28"/>
      <c r="HH61" s="28"/>
      <c r="HI61" s="28"/>
      <c r="HJ61" s="28"/>
      <c r="HK61" s="28"/>
      <c r="HL61" s="28"/>
      <c r="HM61" s="28"/>
      <c r="HN61" s="28"/>
      <c r="HO61" s="28"/>
      <c r="HP61" s="28"/>
      <c r="HQ61" s="28"/>
      <c r="HR61" s="28"/>
      <c r="HS61" s="28"/>
      <c r="HT61" s="28"/>
      <c r="HU61" s="28"/>
      <c r="HV61" s="28"/>
      <c r="HW61" s="28"/>
      <c r="HX61" s="28"/>
      <c r="HY61" s="89" t="s">
        <v>69</v>
      </c>
      <c r="HZ61" s="191" t="s">
        <v>130</v>
      </c>
      <c r="IB61" s="28"/>
      <c r="IC61" s="28"/>
      <c r="ID61" s="89"/>
      <c r="IE61" s="28"/>
      <c r="IF61" s="28"/>
      <c r="IG61" s="28"/>
      <c r="IH61" s="28"/>
      <c r="II61" s="28"/>
      <c r="IJ61" s="31"/>
    </row>
    <row r="62" spans="9:244" ht="38.25" customHeight="1">
      <c r="I62" s="213" t="s">
        <v>115</v>
      </c>
      <c r="J62" s="213"/>
      <c r="K62" s="213"/>
      <c r="L62" s="213"/>
      <c r="M62" s="213"/>
      <c r="N62" s="213"/>
      <c r="O62" s="213"/>
      <c r="P62" s="213"/>
      <c r="Q62" s="213"/>
      <c r="R62" s="213"/>
      <c r="DI62" s="86" t="s">
        <v>113</v>
      </c>
      <c r="DJ62" s="28"/>
      <c r="DK62" s="28"/>
      <c r="DU62" s="2"/>
      <c r="GG62" s="27"/>
      <c r="GH62" s="28"/>
      <c r="GI62" s="28"/>
      <c r="GJ62" s="28"/>
      <c r="GK62" s="28"/>
      <c r="GL62" s="28"/>
      <c r="GM62" s="28"/>
      <c r="GN62" s="28"/>
      <c r="GO62" s="28"/>
      <c r="GP62" s="28"/>
      <c r="GQ62" s="28"/>
      <c r="GS62" s="28"/>
      <c r="GT62" s="28"/>
      <c r="GU62" s="28"/>
      <c r="GV62" s="28"/>
      <c r="GW62" s="28"/>
      <c r="GZ62" s="28"/>
      <c r="HA62" s="28"/>
      <c r="HB62" s="28"/>
      <c r="HC62" s="28"/>
      <c r="HD62" s="28"/>
      <c r="HE62" s="28"/>
      <c r="HF62" s="28"/>
      <c r="HG62" s="28"/>
      <c r="HH62" s="28"/>
      <c r="HI62" s="28"/>
      <c r="HJ62" s="28"/>
      <c r="HK62" s="28"/>
      <c r="HL62" s="28"/>
      <c r="HM62" s="28"/>
      <c r="HN62" s="28"/>
      <c r="HO62" s="28"/>
      <c r="HP62" s="28"/>
      <c r="HQ62" s="28"/>
      <c r="HR62" s="28"/>
      <c r="HS62" s="28"/>
      <c r="HT62" s="28"/>
      <c r="HU62" s="28"/>
      <c r="HV62" s="28"/>
      <c r="HW62" s="28"/>
      <c r="HX62" s="28"/>
      <c r="HY62" s="89" t="s">
        <v>70</v>
      </c>
      <c r="HZ62" s="28" t="s">
        <v>129</v>
      </c>
      <c r="IB62" s="28"/>
      <c r="IC62" s="28"/>
      <c r="ID62" s="89"/>
      <c r="IE62" s="28"/>
      <c r="IF62" s="28"/>
      <c r="IG62" s="28"/>
      <c r="IH62" s="28"/>
      <c r="II62" s="28"/>
      <c r="IJ62" s="31"/>
    </row>
    <row r="63" spans="9:244" s="100" customFormat="1" ht="25.5" customHeight="1">
      <c r="I63" s="215" t="s">
        <v>33</v>
      </c>
      <c r="J63" s="215"/>
      <c r="K63" s="215"/>
      <c r="L63" s="215"/>
      <c r="M63" s="215"/>
      <c r="N63" s="215"/>
      <c r="O63" s="215"/>
      <c r="P63" s="215"/>
      <c r="Q63" s="215"/>
      <c r="R63" s="215"/>
      <c r="BS63" s="110"/>
      <c r="BT63" s="110"/>
      <c r="BU63" s="110"/>
      <c r="DI63" s="28"/>
      <c r="DJ63" s="28"/>
      <c r="DK63" s="28"/>
      <c r="GG63" s="106"/>
      <c r="GH63" s="107"/>
      <c r="GI63" s="107"/>
      <c r="GJ63" s="107"/>
      <c r="GK63" s="107"/>
      <c r="GL63" s="107"/>
      <c r="GM63" s="107"/>
      <c r="GN63" s="107"/>
      <c r="GO63" s="107"/>
      <c r="GP63" s="107"/>
      <c r="GQ63" s="107"/>
      <c r="GS63" s="107"/>
      <c r="GT63" s="107"/>
      <c r="GU63" s="107"/>
      <c r="GV63" s="107"/>
      <c r="GW63" s="107"/>
      <c r="GZ63" s="107"/>
      <c r="HA63" s="107"/>
      <c r="HB63" s="107"/>
      <c r="HC63" s="107"/>
      <c r="HD63" s="107"/>
      <c r="HE63" s="107"/>
      <c r="HF63" s="107"/>
      <c r="HG63" s="107"/>
      <c r="HH63" s="107"/>
      <c r="HI63" s="107"/>
      <c r="HJ63" s="107"/>
      <c r="HK63" s="107"/>
      <c r="HL63" s="107"/>
      <c r="HM63" s="107"/>
      <c r="HN63" s="107"/>
      <c r="HO63" s="107"/>
      <c r="HP63" s="107"/>
      <c r="HQ63" s="107"/>
      <c r="HR63" s="107"/>
      <c r="HS63" s="107"/>
      <c r="HT63" s="107"/>
      <c r="HU63" s="107"/>
      <c r="HV63" s="107"/>
      <c r="HW63" s="107"/>
      <c r="HX63" s="107"/>
      <c r="HY63" s="89" t="s">
        <v>71</v>
      </c>
      <c r="HZ63" s="28" t="s">
        <v>129</v>
      </c>
      <c r="IB63" s="107"/>
      <c r="IC63" s="107"/>
      <c r="ID63" s="108"/>
      <c r="IE63" s="107"/>
      <c r="IF63" s="107"/>
      <c r="IG63" s="110"/>
      <c r="IH63" s="110"/>
      <c r="II63" s="110"/>
      <c r="IJ63" s="109"/>
    </row>
    <row r="64" spans="9:244" s="100" customFormat="1" ht="6" customHeight="1">
      <c r="I64" s="214"/>
      <c r="J64" s="214"/>
      <c r="K64" s="214"/>
      <c r="L64" s="214"/>
      <c r="M64" s="214"/>
      <c r="N64" s="214"/>
      <c r="O64" s="214"/>
      <c r="P64" s="214"/>
      <c r="Q64" s="214"/>
      <c r="R64" s="214"/>
      <c r="W64" s="17"/>
      <c r="X64"/>
      <c r="Y64"/>
      <c r="Z64"/>
      <c r="AA64"/>
      <c r="AB64"/>
      <c r="AC64"/>
      <c r="AD64"/>
      <c r="AE64"/>
      <c r="BR64" s="110"/>
      <c r="DI64" s="28"/>
      <c r="DJ64" s="28"/>
      <c r="DK64" s="28"/>
      <c r="GG64" s="106"/>
      <c r="GH64" s="107"/>
      <c r="GI64" s="107"/>
      <c r="GJ64" s="107"/>
      <c r="GK64" s="107"/>
      <c r="GL64" s="107"/>
      <c r="GM64" s="107"/>
      <c r="GN64" s="107"/>
      <c r="GO64" s="107"/>
      <c r="GP64" s="107"/>
      <c r="GQ64" s="107"/>
      <c r="GS64" s="107"/>
      <c r="GT64" s="107"/>
      <c r="GU64" s="107"/>
      <c r="GV64" s="107"/>
      <c r="GW64" s="107"/>
      <c r="GZ64" s="107"/>
      <c r="HA64" s="107"/>
      <c r="HB64" s="107"/>
      <c r="HC64" s="107"/>
      <c r="HD64" s="107"/>
      <c r="HE64" s="107"/>
      <c r="HF64" s="107"/>
      <c r="HG64" s="107"/>
      <c r="HH64" s="107"/>
      <c r="HI64" s="107"/>
      <c r="HJ64" s="107"/>
      <c r="HK64" s="107"/>
      <c r="HL64" s="107"/>
      <c r="HM64" s="107"/>
      <c r="HN64" s="107"/>
      <c r="HO64" s="107"/>
      <c r="HP64" s="107"/>
      <c r="HQ64" s="107"/>
      <c r="HR64" s="107"/>
      <c r="HS64" s="107"/>
      <c r="HT64" s="107"/>
      <c r="HU64" s="107"/>
      <c r="HV64" s="107"/>
      <c r="HW64" s="107"/>
      <c r="HX64" s="107"/>
      <c r="HY64" s="26" t="s">
        <v>143</v>
      </c>
      <c r="HZ64" s="28" t="s">
        <v>129</v>
      </c>
      <c r="IB64" s="107"/>
      <c r="IC64" s="107"/>
      <c r="ID64" s="108"/>
      <c r="IE64" s="107"/>
      <c r="IF64" s="110"/>
      <c r="IG64" s="107"/>
      <c r="IH64" s="107"/>
      <c r="II64" s="107"/>
      <c r="IJ64" s="109"/>
    </row>
    <row r="65" spans="3:244" s="100" customFormat="1" ht="38.25" customHeight="1">
      <c r="C65" s="159" t="s">
        <v>106</v>
      </c>
      <c r="I65" s="229" t="s">
        <v>50</v>
      </c>
      <c r="J65" s="229"/>
      <c r="K65" s="229"/>
      <c r="L65" s="229"/>
      <c r="M65" s="229"/>
      <c r="N65" s="229"/>
      <c r="O65" s="229"/>
      <c r="P65" s="229"/>
      <c r="Q65" s="229"/>
      <c r="R65" s="229"/>
      <c r="W65" s="45"/>
      <c r="X65"/>
      <c r="Y65"/>
      <c r="Z65"/>
      <c r="AA65"/>
      <c r="AB65"/>
      <c r="AC65"/>
      <c r="AD65"/>
      <c r="AE65"/>
      <c r="DI65" s="89"/>
      <c r="DJ65" s="89"/>
      <c r="DK65" s="89"/>
      <c r="GG65" s="106"/>
      <c r="GH65" s="107"/>
      <c r="GI65" s="107"/>
      <c r="GJ65" s="107"/>
      <c r="GK65" s="107"/>
      <c r="GL65" s="107"/>
      <c r="GM65" s="107"/>
      <c r="GN65" s="107"/>
      <c r="GO65" s="107"/>
      <c r="GP65" s="107"/>
      <c r="GQ65" s="107"/>
      <c r="GS65" s="107"/>
      <c r="GT65" s="107"/>
      <c r="GU65" s="107"/>
      <c r="GV65" s="107"/>
      <c r="GW65" s="107"/>
      <c r="GZ65" s="107"/>
      <c r="HA65" s="107"/>
      <c r="HB65" s="107"/>
      <c r="HC65" s="107"/>
      <c r="HD65" s="107"/>
      <c r="HE65" s="107"/>
      <c r="HF65" s="107"/>
      <c r="HG65" s="107"/>
      <c r="HH65" s="107"/>
      <c r="HI65" s="107"/>
      <c r="HJ65" s="107"/>
      <c r="HK65" s="107"/>
      <c r="HL65" s="107"/>
      <c r="HM65" s="107"/>
      <c r="HN65" s="107"/>
      <c r="HO65" s="107"/>
      <c r="HP65" s="107"/>
      <c r="HQ65" s="107"/>
      <c r="HR65" s="107"/>
      <c r="HS65" s="107"/>
      <c r="HT65" s="107"/>
      <c r="HU65" s="107"/>
      <c r="HV65" s="107"/>
      <c r="HW65" s="107"/>
      <c r="HX65" s="107"/>
      <c r="HY65" s="89" t="s">
        <v>144</v>
      </c>
      <c r="HZ65" s="28" t="s">
        <v>129</v>
      </c>
      <c r="IB65" s="107"/>
      <c r="IC65" s="107"/>
      <c r="ID65" s="108"/>
      <c r="IE65" s="107"/>
      <c r="IF65" s="107"/>
      <c r="IG65" s="107"/>
      <c r="IH65" s="107"/>
      <c r="II65" s="107"/>
      <c r="IJ65" s="109"/>
    </row>
    <row r="66" spans="9:244" s="101" customFormat="1" ht="6" customHeight="1"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W66"/>
      <c r="X66"/>
      <c r="Y66"/>
      <c r="Z66"/>
      <c r="AA66"/>
      <c r="AB66"/>
      <c r="AC66"/>
      <c r="AD66"/>
      <c r="AE66"/>
      <c r="DI66" s="20">
        <v>100</v>
      </c>
      <c r="DJ66" s="20">
        <v>200</v>
      </c>
      <c r="DK66" s="20">
        <v>500</v>
      </c>
      <c r="GG66" s="102"/>
      <c r="GH66" s="103"/>
      <c r="GI66" s="103"/>
      <c r="GJ66" s="103"/>
      <c r="GK66" s="103"/>
      <c r="GL66" s="103"/>
      <c r="GM66" s="103"/>
      <c r="GN66" s="103"/>
      <c r="GO66" s="103"/>
      <c r="GP66" s="103"/>
      <c r="GQ66" s="103"/>
      <c r="GS66" s="103"/>
      <c r="GT66" s="103"/>
      <c r="GU66" s="103"/>
      <c r="GV66" s="103"/>
      <c r="GW66" s="103"/>
      <c r="GZ66" s="103"/>
      <c r="HA66" s="103"/>
      <c r="HB66" s="103"/>
      <c r="HC66" s="103"/>
      <c r="HD66" s="103"/>
      <c r="HE66" s="103"/>
      <c r="HF66" s="103"/>
      <c r="HG66" s="103"/>
      <c r="HH66" s="103"/>
      <c r="HI66" s="103"/>
      <c r="HJ66" s="103"/>
      <c r="HK66" s="103"/>
      <c r="HL66" s="103"/>
      <c r="HM66" s="103"/>
      <c r="HN66" s="103"/>
      <c r="HO66" s="103"/>
      <c r="HP66" s="103"/>
      <c r="HQ66" s="103"/>
      <c r="HR66" s="103"/>
      <c r="HS66" s="103"/>
      <c r="HT66" s="103"/>
      <c r="HU66" s="103"/>
      <c r="HV66" s="103"/>
      <c r="HW66" s="103"/>
      <c r="HX66" s="103"/>
      <c r="HY66" s="108" t="s">
        <v>145</v>
      </c>
      <c r="HZ66" s="28" t="s">
        <v>129</v>
      </c>
      <c r="IB66" s="103"/>
      <c r="IC66" s="103"/>
      <c r="ID66" s="111"/>
      <c r="IE66" s="103"/>
      <c r="IF66" s="103"/>
      <c r="IG66" s="103"/>
      <c r="IH66" s="103"/>
      <c r="II66" s="103"/>
      <c r="IJ66" s="105"/>
    </row>
    <row r="67" spans="3:244" ht="39" customHeight="1">
      <c r="C67" s="115">
        <f>SUM((C28+D28+E28+F28)/($C$28+$D$28+$E$28+$F$28))</f>
        <v>1</v>
      </c>
      <c r="D67" s="115"/>
      <c r="E67" s="115"/>
      <c r="F67" s="115"/>
      <c r="G67" s="115">
        <f>IF(G28=0,0,G28/$G$28)</f>
        <v>0</v>
      </c>
      <c r="H67" s="115">
        <f>IF(H28=0,0,H28/$H$28)</f>
        <v>1</v>
      </c>
      <c r="I67" s="214" t="s">
        <v>114</v>
      </c>
      <c r="J67" s="214"/>
      <c r="K67" s="214"/>
      <c r="L67" s="214"/>
      <c r="M67" s="214"/>
      <c r="N67" s="214"/>
      <c r="O67" s="214"/>
      <c r="P67" s="214"/>
      <c r="Q67" s="214"/>
      <c r="R67" s="214"/>
      <c r="W67" s="115"/>
      <c r="DI67" s="7">
        <v>0</v>
      </c>
      <c r="DJ67" s="7">
        <v>0</v>
      </c>
      <c r="DK67" s="7">
        <v>0</v>
      </c>
      <c r="GG67" s="27"/>
      <c r="GH67" s="28"/>
      <c r="GI67" s="28"/>
      <c r="GJ67" s="28"/>
      <c r="GK67" s="28"/>
      <c r="GL67" s="28"/>
      <c r="GM67" s="28"/>
      <c r="GN67" s="28"/>
      <c r="GO67" s="28"/>
      <c r="GP67" s="28"/>
      <c r="GQ67" s="28"/>
      <c r="GS67" s="28"/>
      <c r="GT67" s="28"/>
      <c r="GU67" s="28"/>
      <c r="GV67" s="28"/>
      <c r="GW67" s="28"/>
      <c r="GZ67" s="28"/>
      <c r="HA67" s="28"/>
      <c r="HB67" s="28"/>
      <c r="HC67" s="28"/>
      <c r="HD67" s="28"/>
      <c r="HE67" s="28"/>
      <c r="HF67" s="28"/>
      <c r="HG67" s="28"/>
      <c r="HH67" s="28"/>
      <c r="HI67" s="28"/>
      <c r="HJ67" s="28"/>
      <c r="HK67" s="28"/>
      <c r="HL67" s="28"/>
      <c r="HM67" s="28"/>
      <c r="HN67" s="28"/>
      <c r="HO67" s="28"/>
      <c r="HP67" s="28"/>
      <c r="HQ67" s="28"/>
      <c r="HR67" s="28"/>
      <c r="HS67" s="28"/>
      <c r="HT67" s="28"/>
      <c r="HU67" s="28"/>
      <c r="HV67" s="28"/>
      <c r="HW67" s="28"/>
      <c r="HX67" s="28"/>
      <c r="HY67" s="108" t="s">
        <v>146</v>
      </c>
      <c r="HZ67" s="28" t="s">
        <v>129</v>
      </c>
      <c r="IB67" s="28"/>
      <c r="IC67" s="28"/>
      <c r="ID67" s="89"/>
      <c r="IE67" s="28"/>
      <c r="IF67" s="28"/>
      <c r="IG67" s="28"/>
      <c r="IH67" s="28"/>
      <c r="II67" s="28"/>
      <c r="IJ67" s="31"/>
    </row>
    <row r="68" spans="3:244" ht="6" customHeight="1">
      <c r="C68" s="115">
        <f>SUM((C29+D29+E29+F29)/($C$28+$D$28+$E$28+$F$28))</f>
        <v>1.8134230697326603</v>
      </c>
      <c r="D68" s="115"/>
      <c r="E68" s="115"/>
      <c r="F68" s="115"/>
      <c r="G68" s="115">
        <f>IF(G29=0,0,(G29/$G$28))</f>
        <v>0</v>
      </c>
      <c r="H68" s="115">
        <f>IF(H29=0,0,(H29/$H$28))</f>
        <v>1.4061032863849767</v>
      </c>
      <c r="I68" s="214"/>
      <c r="J68" s="214"/>
      <c r="K68" s="214"/>
      <c r="L68" s="214"/>
      <c r="M68" s="214"/>
      <c r="N68" s="214"/>
      <c r="O68" s="214"/>
      <c r="P68" s="214"/>
      <c r="Q68" s="214"/>
      <c r="R68" s="214"/>
      <c r="W68" s="115"/>
      <c r="DI68" s="7">
        <v>0</v>
      </c>
      <c r="DJ68" s="7">
        <v>0</v>
      </c>
      <c r="DK68" s="7">
        <v>0</v>
      </c>
      <c r="GG68" s="27"/>
      <c r="GH68" s="28"/>
      <c r="GI68" s="28"/>
      <c r="GJ68" s="28"/>
      <c r="GK68" s="28"/>
      <c r="GL68" s="28"/>
      <c r="GM68" s="28"/>
      <c r="GN68" s="28"/>
      <c r="GO68" s="28"/>
      <c r="GP68" s="28"/>
      <c r="GQ68" s="28"/>
      <c r="GS68" s="28"/>
      <c r="GT68" s="28"/>
      <c r="GU68" s="28"/>
      <c r="GV68" s="28"/>
      <c r="GW68" s="28"/>
      <c r="GZ68" s="28"/>
      <c r="HA68" s="28"/>
      <c r="HB68" s="28"/>
      <c r="HC68" s="28"/>
      <c r="HD68" s="28"/>
      <c r="HE68" s="28"/>
      <c r="HF68" s="28"/>
      <c r="HG68" s="28"/>
      <c r="HH68" s="28"/>
      <c r="HI68" s="28"/>
      <c r="HJ68" s="28"/>
      <c r="HK68" s="28"/>
      <c r="HL68" s="28"/>
      <c r="HM68" s="28"/>
      <c r="HN68" s="28"/>
      <c r="HO68" s="28"/>
      <c r="HP68" s="28"/>
      <c r="HQ68" s="28"/>
      <c r="HR68" s="28"/>
      <c r="HS68" s="28"/>
      <c r="HT68" s="28"/>
      <c r="HU68" s="28"/>
      <c r="HV68" s="28"/>
      <c r="HW68" s="28"/>
      <c r="HX68" s="28"/>
      <c r="HY68" s="108" t="s">
        <v>72</v>
      </c>
      <c r="HZ68" s="28" t="s">
        <v>129</v>
      </c>
      <c r="IB68" s="28"/>
      <c r="IC68" s="28"/>
      <c r="ID68" s="89"/>
      <c r="IE68" s="28"/>
      <c r="IF68" s="28"/>
      <c r="IG68" s="28"/>
      <c r="IH68" s="28"/>
      <c r="II68" s="28"/>
      <c r="IJ68" s="31"/>
    </row>
    <row r="69" spans="3:244" ht="12.75" customHeight="1">
      <c r="C69" s="115">
        <f>SUM((C30+D30+E30+F30)/($C$28+$D$28+$E$28+$F$28))</f>
        <v>2.3776406805010284</v>
      </c>
      <c r="D69" s="115"/>
      <c r="E69" s="115"/>
      <c r="F69" s="115"/>
      <c r="G69" s="115">
        <f>IF(G30=0,0,(G30/$G$28))</f>
        <v>0</v>
      </c>
      <c r="H69" s="115">
        <f>IF(H30=0,0,(H30/$H$28))</f>
        <v>1.2910798122065728</v>
      </c>
      <c r="I69" s="230" t="s">
        <v>85</v>
      </c>
      <c r="J69" s="230"/>
      <c r="K69" s="230"/>
      <c r="L69" s="230"/>
      <c r="M69" s="230"/>
      <c r="N69" s="230"/>
      <c r="O69" s="230"/>
      <c r="P69" s="230"/>
      <c r="Q69" s="230"/>
      <c r="R69" s="230"/>
      <c r="W69" s="115"/>
      <c r="DI69" s="7">
        <v>0</v>
      </c>
      <c r="DJ69" s="7">
        <v>0</v>
      </c>
      <c r="DK69" s="7">
        <v>0</v>
      </c>
      <c r="GG69" s="27"/>
      <c r="GH69" s="28"/>
      <c r="GI69" s="28"/>
      <c r="GJ69" s="28"/>
      <c r="GK69" s="28"/>
      <c r="GL69" s="28"/>
      <c r="GM69" s="28"/>
      <c r="GN69" s="28"/>
      <c r="GO69" s="28"/>
      <c r="GP69" s="28"/>
      <c r="GQ69" s="28"/>
      <c r="GS69" s="28"/>
      <c r="GT69" s="28"/>
      <c r="GU69" s="28"/>
      <c r="GV69" s="28"/>
      <c r="GW69" s="28"/>
      <c r="GZ69" s="28"/>
      <c r="HA69" s="28"/>
      <c r="HB69" s="28"/>
      <c r="HC69" s="28"/>
      <c r="HD69" s="28"/>
      <c r="HE69" s="28"/>
      <c r="HF69" s="28"/>
      <c r="HG69" s="28"/>
      <c r="HH69" s="28"/>
      <c r="HI69" s="28"/>
      <c r="HJ69" s="28"/>
      <c r="HK69" s="28"/>
      <c r="HL69" s="28"/>
      <c r="HM69" s="28"/>
      <c r="HN69" s="28"/>
      <c r="HO69" s="28"/>
      <c r="HP69" s="28"/>
      <c r="HQ69" s="28"/>
      <c r="HR69" s="28"/>
      <c r="HS69" s="28"/>
      <c r="HT69" s="28"/>
      <c r="HU69" s="28"/>
      <c r="HV69" s="28"/>
      <c r="HW69" s="28"/>
      <c r="HX69" s="28"/>
      <c r="HY69" s="111" t="s">
        <v>149</v>
      </c>
      <c r="HZ69" s="28" t="s">
        <v>129</v>
      </c>
      <c r="IB69" s="28"/>
      <c r="IC69" s="28"/>
      <c r="ID69" s="89"/>
      <c r="IE69" s="28"/>
      <c r="IF69" s="28"/>
      <c r="IG69" s="28"/>
      <c r="IH69" s="28"/>
      <c r="II69" s="28"/>
      <c r="IJ69" s="31"/>
    </row>
    <row r="70" spans="3:244" ht="6" customHeight="1">
      <c r="C70" s="115">
        <f>SUM((C31+D31+E31+F31)/($C$28+$D$28+$E$28+$F$28))</f>
        <v>3.1482520097214426</v>
      </c>
      <c r="D70" s="115"/>
      <c r="E70" s="115"/>
      <c r="F70" s="115"/>
      <c r="G70" s="115">
        <f>IF(G31=0,0,(G31/$G$28))</f>
        <v>0</v>
      </c>
      <c r="H70" s="115">
        <f>IF(H31=0,0,(H31/$H$28))</f>
        <v>1.8591549295774648</v>
      </c>
      <c r="I70" s="230"/>
      <c r="J70" s="230"/>
      <c r="K70" s="230"/>
      <c r="L70" s="230"/>
      <c r="M70" s="230"/>
      <c r="N70" s="230"/>
      <c r="O70" s="230"/>
      <c r="P70" s="230"/>
      <c r="Q70" s="230"/>
      <c r="R70" s="230"/>
      <c r="W70" s="115"/>
      <c r="DI70" s="7">
        <v>0</v>
      </c>
      <c r="DJ70" s="7">
        <v>0</v>
      </c>
      <c r="DK70" s="7">
        <v>0</v>
      </c>
      <c r="GG70" s="27"/>
      <c r="GH70" s="28"/>
      <c r="GI70" s="28"/>
      <c r="GJ70" s="28"/>
      <c r="GK70" s="28"/>
      <c r="GL70" s="28"/>
      <c r="GM70" s="28"/>
      <c r="GN70" s="28"/>
      <c r="GO70" s="28"/>
      <c r="GP70" s="28"/>
      <c r="GQ70" s="28"/>
      <c r="GS70" s="28"/>
      <c r="GT70" s="28"/>
      <c r="GU70" s="28"/>
      <c r="GV70" s="28"/>
      <c r="GW70" s="28"/>
      <c r="GZ70" s="28"/>
      <c r="HA70" s="28"/>
      <c r="HB70" s="28"/>
      <c r="HC70" s="28"/>
      <c r="HD70" s="28"/>
      <c r="HE70" s="28"/>
      <c r="HF70" s="28"/>
      <c r="HG70" s="28"/>
      <c r="HH70" s="28"/>
      <c r="HI70" s="28"/>
      <c r="HJ70" s="28"/>
      <c r="HK70" s="28"/>
      <c r="HL70" s="28"/>
      <c r="HM70" s="28"/>
      <c r="HN70" s="28"/>
      <c r="HO70" s="28"/>
      <c r="HP70" s="28"/>
      <c r="HQ70" s="28"/>
      <c r="HR70" s="28"/>
      <c r="HS70" s="28"/>
      <c r="HT70" s="28"/>
      <c r="HU70" s="28"/>
      <c r="HV70" s="28"/>
      <c r="HW70" s="28"/>
      <c r="HX70" s="28"/>
      <c r="HY70" s="89" t="s">
        <v>73</v>
      </c>
      <c r="HZ70" s="28" t="s">
        <v>129</v>
      </c>
      <c r="IB70" s="28"/>
      <c r="IC70" s="28"/>
      <c r="ID70" s="89"/>
      <c r="IE70" s="28"/>
      <c r="IF70" s="28"/>
      <c r="IG70" s="28"/>
      <c r="IH70" s="28"/>
      <c r="II70" s="28"/>
      <c r="IJ70" s="31"/>
    </row>
    <row r="71" spans="3:244" ht="12.75" customHeight="1">
      <c r="C71" s="115"/>
      <c r="D71" s="115"/>
      <c r="E71" s="115"/>
      <c r="F71" s="115"/>
      <c r="G71" s="115"/>
      <c r="H71" s="115"/>
      <c r="I71" s="223" t="s">
        <v>88</v>
      </c>
      <c r="J71" s="224"/>
      <c r="K71" s="224"/>
      <c r="L71" s="224"/>
      <c r="M71" s="224"/>
      <c r="N71" s="224"/>
      <c r="O71" s="224"/>
      <c r="P71" s="224"/>
      <c r="Q71" s="224"/>
      <c r="R71" s="225"/>
      <c r="W71" s="115"/>
      <c r="DI71" s="89"/>
      <c r="DJ71" s="89"/>
      <c r="DK71" s="89"/>
      <c r="GG71" s="27"/>
      <c r="GH71" s="28"/>
      <c r="GI71" s="28"/>
      <c r="GJ71" s="28"/>
      <c r="GK71" s="28"/>
      <c r="GL71" s="28"/>
      <c r="GM71" s="28"/>
      <c r="GN71" s="28"/>
      <c r="GO71" s="28"/>
      <c r="GP71" s="28"/>
      <c r="GQ71" s="28"/>
      <c r="GS71" s="28"/>
      <c r="GT71" s="28"/>
      <c r="GU71" s="28"/>
      <c r="GV71" s="28"/>
      <c r="GW71" s="28"/>
      <c r="GZ71" s="28"/>
      <c r="HA71" s="28"/>
      <c r="HB71" s="28"/>
      <c r="HC71" s="28"/>
      <c r="HD71" s="28"/>
      <c r="HE71" s="28"/>
      <c r="HF71" s="28"/>
      <c r="HG71" s="28"/>
      <c r="HH71" s="28"/>
      <c r="HI71" s="28"/>
      <c r="HJ71" s="28"/>
      <c r="HK71" s="28"/>
      <c r="HL71" s="28"/>
      <c r="HM71" s="28"/>
      <c r="HN71" s="28"/>
      <c r="HO71" s="28"/>
      <c r="HP71" s="28"/>
      <c r="HQ71" s="28"/>
      <c r="HR71" s="28"/>
      <c r="HS71" s="28"/>
      <c r="HT71" s="28"/>
      <c r="HU71" s="28"/>
      <c r="HV71" s="28"/>
      <c r="HW71" s="28"/>
      <c r="HX71" s="28"/>
      <c r="HY71" s="89" t="s">
        <v>74</v>
      </c>
      <c r="HZ71" s="28" t="s">
        <v>129</v>
      </c>
      <c r="IB71" s="28"/>
      <c r="IC71" s="28"/>
      <c r="ID71" s="89"/>
      <c r="IE71" s="28"/>
      <c r="IF71" s="28"/>
      <c r="IG71" s="28"/>
      <c r="IH71" s="28"/>
      <c r="II71" s="28"/>
      <c r="IJ71" s="31"/>
    </row>
    <row r="72" spans="3:244" ht="25.5" customHeight="1">
      <c r="C72" s="115">
        <f>SUM((C34+D34+E34+F34)/($C$34+$D$34+$E$34+$F$34))</f>
        <v>1</v>
      </c>
      <c r="D72" s="115"/>
      <c r="E72" s="115"/>
      <c r="F72" s="115"/>
      <c r="G72" s="115">
        <f>IF(G34=0,0,G34/$G$34)</f>
        <v>0</v>
      </c>
      <c r="H72" s="115">
        <f>IF(H34=0,0,H34/$H$34)</f>
        <v>1</v>
      </c>
      <c r="I72" s="226" t="s">
        <v>87</v>
      </c>
      <c r="J72" s="227"/>
      <c r="K72" s="227"/>
      <c r="L72" s="227"/>
      <c r="M72" s="227"/>
      <c r="N72" s="227"/>
      <c r="O72" s="227"/>
      <c r="P72" s="227"/>
      <c r="Q72" s="227"/>
      <c r="R72" s="228"/>
      <c r="W72" s="115"/>
      <c r="DI72" s="89"/>
      <c r="DJ72" s="89"/>
      <c r="DK72" s="89"/>
      <c r="GG72" s="27"/>
      <c r="GH72" s="28"/>
      <c r="GI72" s="28"/>
      <c r="GJ72" s="28"/>
      <c r="GK72" s="28"/>
      <c r="GL72" s="28"/>
      <c r="GM72" s="28"/>
      <c r="GN72" s="28"/>
      <c r="GO72" s="28"/>
      <c r="GP72" s="28"/>
      <c r="GQ72" s="28"/>
      <c r="GS72" s="28"/>
      <c r="GT72" s="28"/>
      <c r="GU72" s="28"/>
      <c r="GV72" s="28"/>
      <c r="GW72" s="28"/>
      <c r="GZ72" s="28"/>
      <c r="HA72" s="28"/>
      <c r="HB72" s="28"/>
      <c r="HC72" s="28"/>
      <c r="HD72" s="28"/>
      <c r="HE72" s="28"/>
      <c r="HF72" s="28"/>
      <c r="HG72" s="28"/>
      <c r="HH72" s="28"/>
      <c r="HI72" s="28"/>
      <c r="HJ72" s="28"/>
      <c r="HK72" s="28"/>
      <c r="HL72" s="28"/>
      <c r="HM72" s="28"/>
      <c r="HN72" s="28"/>
      <c r="HO72" s="28"/>
      <c r="HP72" s="28"/>
      <c r="HQ72" s="28"/>
      <c r="HR72" s="28"/>
      <c r="HS72" s="28"/>
      <c r="HT72" s="28"/>
      <c r="HU72" s="28"/>
      <c r="HV72" s="28"/>
      <c r="HW72" s="28"/>
      <c r="HX72" s="28"/>
      <c r="HY72" s="89" t="s">
        <v>75</v>
      </c>
      <c r="HZ72" s="193" t="s">
        <v>130</v>
      </c>
      <c r="IA72" s="101"/>
      <c r="IB72" s="28"/>
      <c r="IC72" s="28"/>
      <c r="ID72" s="89"/>
      <c r="IE72" s="28"/>
      <c r="IF72" s="28"/>
      <c r="IG72" s="28"/>
      <c r="IH72" s="28"/>
      <c r="II72" s="28"/>
      <c r="IJ72" s="31"/>
    </row>
    <row r="73" spans="3:244" ht="25.5" customHeight="1" hidden="1">
      <c r="C73" s="115">
        <f>SUM((C34+D34+E34+F34)/($C$28+$D$28+$E$28+$F$28))</f>
        <v>1.3568891381566648</v>
      </c>
      <c r="D73" s="115"/>
      <c r="E73" s="115"/>
      <c r="F73" s="115"/>
      <c r="G73" s="115">
        <f>IF(G34=0,0,(G34/$G$28))</f>
        <v>0</v>
      </c>
      <c r="H73" s="115" t="e">
        <f>IF(H34=0,0,(H34/$G$28))</f>
        <v>#DIV/0!</v>
      </c>
      <c r="I73" s="214" t="s">
        <v>86</v>
      </c>
      <c r="J73" s="214"/>
      <c r="K73" s="214"/>
      <c r="L73" s="214"/>
      <c r="M73" s="214"/>
      <c r="N73" s="214"/>
      <c r="O73" s="214"/>
      <c r="P73" s="214"/>
      <c r="Q73" s="214"/>
      <c r="R73" s="214"/>
      <c r="W73" s="115"/>
      <c r="DI73" s="89"/>
      <c r="DJ73" s="89"/>
      <c r="DK73" s="89"/>
      <c r="GG73" s="27"/>
      <c r="GH73" s="28"/>
      <c r="GI73" s="28"/>
      <c r="GJ73" s="28"/>
      <c r="GK73" s="28"/>
      <c r="GL73" s="28"/>
      <c r="GM73" s="28"/>
      <c r="GN73" s="28"/>
      <c r="GO73" s="28"/>
      <c r="GP73" s="28"/>
      <c r="GQ73" s="28"/>
      <c r="GS73" s="28"/>
      <c r="GT73" s="28"/>
      <c r="GU73" s="28"/>
      <c r="GV73" s="28"/>
      <c r="GW73" s="28"/>
      <c r="GZ73" s="28"/>
      <c r="HA73" s="28"/>
      <c r="HB73" s="28"/>
      <c r="HC73" s="28"/>
      <c r="HD73" s="28"/>
      <c r="HE73" s="28"/>
      <c r="HF73" s="28"/>
      <c r="HG73" s="28"/>
      <c r="HH73" s="28"/>
      <c r="HI73" s="28"/>
      <c r="HJ73" s="28"/>
      <c r="HK73" s="28"/>
      <c r="HL73" s="28"/>
      <c r="HM73" s="28"/>
      <c r="HN73" s="28"/>
      <c r="HO73" s="28"/>
      <c r="HP73" s="28"/>
      <c r="HQ73" s="28"/>
      <c r="HR73" s="28"/>
      <c r="HS73" s="28"/>
      <c r="HT73" s="28"/>
      <c r="HU73" s="28"/>
      <c r="HV73" s="28"/>
      <c r="HW73" s="28"/>
      <c r="HX73" s="28"/>
      <c r="HY73" s="89" t="s">
        <v>76</v>
      </c>
      <c r="HZ73" s="194" t="s">
        <v>130</v>
      </c>
      <c r="IB73" s="28"/>
      <c r="IC73" s="28"/>
      <c r="ID73" s="89"/>
      <c r="IE73" s="28"/>
      <c r="IF73" s="28"/>
      <c r="IG73" s="28"/>
      <c r="IH73" s="28"/>
      <c r="II73" s="28"/>
      <c r="IJ73" s="31"/>
    </row>
    <row r="74" spans="3:244" s="101" customFormat="1" ht="6" customHeight="1">
      <c r="C74" s="115">
        <f>SUM((C35+D35+E35+F35)/($C$34+$D$34+$E$34+$F$34))</f>
        <v>1.7639845687517224</v>
      </c>
      <c r="D74" s="158"/>
      <c r="E74" s="158"/>
      <c r="F74" s="158"/>
      <c r="G74" s="115">
        <f>IF(G35=0,0,(G35/$G$34))</f>
        <v>0</v>
      </c>
      <c r="H74" s="115">
        <f>IF(H35=0,0,(H35/$H$34))</f>
        <v>1.4061032863849767</v>
      </c>
      <c r="I74" s="222"/>
      <c r="J74" s="222"/>
      <c r="K74" s="222"/>
      <c r="L74" s="222"/>
      <c r="M74" s="222"/>
      <c r="N74" s="222"/>
      <c r="O74" s="222"/>
      <c r="P74" s="222"/>
      <c r="Q74" s="222"/>
      <c r="R74" s="222"/>
      <c r="W74" s="115"/>
      <c r="X74"/>
      <c r="Y74"/>
      <c r="Z74"/>
      <c r="AA74"/>
      <c r="AB74"/>
      <c r="AC74"/>
      <c r="AD74"/>
      <c r="AE74"/>
      <c r="DI74" s="89"/>
      <c r="DJ74" s="89"/>
      <c r="DK74" s="89"/>
      <c r="GG74" s="102"/>
      <c r="GH74" s="103"/>
      <c r="GI74" s="103"/>
      <c r="GJ74" s="103"/>
      <c r="GK74" s="103"/>
      <c r="GL74" s="103"/>
      <c r="GM74" s="103"/>
      <c r="GN74" s="103"/>
      <c r="GO74" s="103"/>
      <c r="GP74" s="103"/>
      <c r="GQ74" s="103"/>
      <c r="GS74" s="103"/>
      <c r="GT74" s="103"/>
      <c r="GU74" s="103"/>
      <c r="GV74" s="103"/>
      <c r="GW74" s="103"/>
      <c r="GZ74" s="103"/>
      <c r="HA74" s="103"/>
      <c r="HB74" s="103"/>
      <c r="HC74" s="103"/>
      <c r="HD74" s="103"/>
      <c r="HE74" s="103"/>
      <c r="HF74" s="103"/>
      <c r="HG74" s="103"/>
      <c r="HH74" s="103"/>
      <c r="HI74" s="103"/>
      <c r="HJ74" s="103"/>
      <c r="HK74" s="103"/>
      <c r="HL74" s="103"/>
      <c r="HM74" s="103"/>
      <c r="HN74" s="103"/>
      <c r="HO74" s="103"/>
      <c r="HP74" s="103"/>
      <c r="HQ74" s="103"/>
      <c r="HR74" s="103"/>
      <c r="HS74" s="103"/>
      <c r="HT74" s="103"/>
      <c r="HU74" s="103"/>
      <c r="HV74" s="103"/>
      <c r="HW74" s="103"/>
      <c r="HX74" s="103"/>
      <c r="HY74" s="89" t="s">
        <v>147</v>
      </c>
      <c r="HZ74" s="28" t="s">
        <v>129</v>
      </c>
      <c r="IA74"/>
      <c r="IB74" s="103"/>
      <c r="IC74" s="103"/>
      <c r="ID74" s="103"/>
      <c r="IE74" s="103"/>
      <c r="IF74" s="103"/>
      <c r="IG74" s="103"/>
      <c r="IH74" s="103"/>
      <c r="II74" s="103"/>
      <c r="IJ74" s="105"/>
    </row>
    <row r="75" spans="3:244" ht="12.75" customHeight="1">
      <c r="C75" s="115">
        <f>SUM((C36+D36+E36+F36)/($C$34+$D$34+$E$34+$F$34))</f>
        <v>1.9211904105814275</v>
      </c>
      <c r="D75" s="115"/>
      <c r="E75" s="115"/>
      <c r="F75" s="115"/>
      <c r="G75" s="115">
        <f>IF(G36=0,0,(G36/$G$34))</f>
        <v>0</v>
      </c>
      <c r="H75" s="115">
        <f>IF(H36=0,0,(H36/$H$34))</f>
        <v>1.2910798122065728</v>
      </c>
      <c r="I75" s="154" t="s">
        <v>105</v>
      </c>
      <c r="J75" s="236"/>
      <c r="K75" s="236"/>
      <c r="L75" s="236"/>
      <c r="M75" s="236"/>
      <c r="N75" s="236"/>
      <c r="O75" s="236"/>
      <c r="W75" s="115"/>
      <c r="DI75" s="89"/>
      <c r="DJ75" s="89"/>
      <c r="DK75" s="89"/>
      <c r="GG75" s="27"/>
      <c r="GH75" s="28"/>
      <c r="GI75" s="28"/>
      <c r="GJ75" s="28"/>
      <c r="GK75" s="28"/>
      <c r="GL75" s="28"/>
      <c r="GM75" s="28"/>
      <c r="GN75" s="28"/>
      <c r="GO75" s="28"/>
      <c r="GP75" s="28"/>
      <c r="GQ75" s="28"/>
      <c r="GS75" s="28"/>
      <c r="GT75" s="28"/>
      <c r="GU75" s="28"/>
      <c r="GV75" s="28"/>
      <c r="GW75" s="28"/>
      <c r="GZ75" s="28"/>
      <c r="HA75" s="28"/>
      <c r="HB75" s="28"/>
      <c r="HC75" s="28"/>
      <c r="HD75" s="28"/>
      <c r="HE75" s="28"/>
      <c r="HF75" s="28"/>
      <c r="HG75" s="28"/>
      <c r="HH75" s="28"/>
      <c r="HI75" s="28"/>
      <c r="HJ75" s="28"/>
      <c r="HK75" s="28"/>
      <c r="HL75" s="28"/>
      <c r="HM75" s="28"/>
      <c r="HN75" s="28"/>
      <c r="HO75" s="28"/>
      <c r="HP75" s="28"/>
      <c r="HQ75" s="28"/>
      <c r="HR75" s="28"/>
      <c r="HS75" s="28"/>
      <c r="HT75" s="28"/>
      <c r="HU75" s="28"/>
      <c r="HV75" s="28"/>
      <c r="HW75" s="28"/>
      <c r="HX75" s="28"/>
      <c r="HY75" s="104" t="s">
        <v>51</v>
      </c>
      <c r="HZ75" s="28" t="s">
        <v>129</v>
      </c>
      <c r="IB75" s="28"/>
      <c r="IC75" s="28"/>
      <c r="ID75" s="28"/>
      <c r="IE75" s="28"/>
      <c r="IF75" s="28"/>
      <c r="IG75" s="28"/>
      <c r="IH75" s="28"/>
      <c r="II75" s="28"/>
      <c r="IJ75" s="31"/>
    </row>
    <row r="76" spans="3:244" ht="9.75" customHeight="1">
      <c r="C76" s="115">
        <f>SUM((C37+D37+E37+F37)/($C$34+$D$34+$E$34+$F$34))</f>
        <v>2.658721410856985</v>
      </c>
      <c r="D76" s="115"/>
      <c r="E76" s="115"/>
      <c r="F76" s="115"/>
      <c r="G76" s="115">
        <f>IF(G37=0,0,(G37/$G$34))</f>
        <v>0</v>
      </c>
      <c r="H76" s="115">
        <f>IF(H37=0,0,(H37/$H$34))</f>
        <v>1.8591549295774648</v>
      </c>
      <c r="W76" s="115"/>
      <c r="DI76" s="20">
        <v>100</v>
      </c>
      <c r="DJ76" s="20">
        <v>200</v>
      </c>
      <c r="DK76" s="20">
        <v>500</v>
      </c>
      <c r="GG76" s="27"/>
      <c r="GH76" s="28"/>
      <c r="GI76" s="28"/>
      <c r="GJ76" s="28"/>
      <c r="GK76" s="28"/>
      <c r="GL76" s="28"/>
      <c r="GM76" s="28"/>
      <c r="GN76" s="28"/>
      <c r="GO76" s="28"/>
      <c r="GP76" s="28"/>
      <c r="GQ76" s="28"/>
      <c r="GS76" s="28"/>
      <c r="GT76" s="28"/>
      <c r="GU76" s="28"/>
      <c r="GV76" s="28"/>
      <c r="GW76" s="28"/>
      <c r="GZ76" s="28"/>
      <c r="HA76" s="28"/>
      <c r="HB76" s="28"/>
      <c r="HC76" s="28"/>
      <c r="HD76" s="28"/>
      <c r="HE76" s="28"/>
      <c r="HF76" s="28"/>
      <c r="HG76" s="28"/>
      <c r="HH76" s="28"/>
      <c r="HI76" s="28"/>
      <c r="HJ76" s="28"/>
      <c r="HK76" s="28"/>
      <c r="HL76" s="28"/>
      <c r="HM76" s="28"/>
      <c r="HN76" s="28"/>
      <c r="HO76" s="28"/>
      <c r="HP76" s="28"/>
      <c r="HQ76" s="28"/>
      <c r="HR76" s="28"/>
      <c r="HS76" s="28"/>
      <c r="HT76" s="28"/>
      <c r="HU76" s="28"/>
      <c r="HV76" s="28"/>
      <c r="HW76" s="28"/>
      <c r="HX76" s="28"/>
      <c r="HY76" s="89" t="s">
        <v>148</v>
      </c>
      <c r="HZ76" s="28" t="s">
        <v>129</v>
      </c>
      <c r="IB76" s="28"/>
      <c r="IC76" s="28"/>
      <c r="ID76" s="28"/>
      <c r="IE76" s="28"/>
      <c r="IF76" s="28"/>
      <c r="IG76" s="28"/>
      <c r="IH76" s="28"/>
      <c r="II76" s="28"/>
      <c r="IJ76" s="31"/>
    </row>
    <row r="77" spans="3:244" ht="12.75" customHeight="1">
      <c r="C77" s="115"/>
      <c r="D77" s="115"/>
      <c r="E77" s="115"/>
      <c r="F77" s="115"/>
      <c r="G77" s="115"/>
      <c r="H77" s="115"/>
      <c r="I77" s="238" t="s">
        <v>116</v>
      </c>
      <c r="J77" s="239"/>
      <c r="K77" s="172"/>
      <c r="L77" s="239" t="s">
        <v>120</v>
      </c>
      <c r="M77" s="239"/>
      <c r="N77" s="239"/>
      <c r="O77" s="239"/>
      <c r="P77" s="239"/>
      <c r="Q77" s="239"/>
      <c r="R77" s="240"/>
      <c r="W77" s="115"/>
      <c r="DI77" s="7">
        <v>0</v>
      </c>
      <c r="DJ77" s="7">
        <v>0</v>
      </c>
      <c r="DK77" s="7">
        <v>0</v>
      </c>
      <c r="GG77" s="27"/>
      <c r="GH77" s="28"/>
      <c r="GI77" s="28"/>
      <c r="GJ77" s="28"/>
      <c r="GK77" s="28"/>
      <c r="GL77" s="28"/>
      <c r="GM77" s="28"/>
      <c r="GN77" s="28"/>
      <c r="GO77" s="28"/>
      <c r="GP77" s="28"/>
      <c r="GQ77" s="28"/>
      <c r="GS77" s="28"/>
      <c r="GT77" s="28"/>
      <c r="GU77" s="28"/>
      <c r="GV77" s="28"/>
      <c r="GW77" s="28"/>
      <c r="GZ77" s="28"/>
      <c r="HA77" s="28"/>
      <c r="HB77" s="28"/>
      <c r="HC77" s="28"/>
      <c r="HD77" s="28"/>
      <c r="HE77" s="28"/>
      <c r="HF77" s="28"/>
      <c r="HG77" s="28"/>
      <c r="HH77" s="28"/>
      <c r="HI77" s="28"/>
      <c r="HJ77" s="28"/>
      <c r="HK77" s="28"/>
      <c r="HL77" s="28"/>
      <c r="HM77" s="28"/>
      <c r="HN77" s="28"/>
      <c r="HO77" s="28"/>
      <c r="HP77" s="28"/>
      <c r="HQ77" s="28"/>
      <c r="HR77" s="28"/>
      <c r="HS77" s="28"/>
      <c r="HT77" s="28"/>
      <c r="HU77" s="28"/>
      <c r="HV77" s="28"/>
      <c r="HW77" s="28"/>
      <c r="HX77" s="28"/>
      <c r="HY77" s="89" t="s">
        <v>83</v>
      </c>
      <c r="HZ77" s="191" t="s">
        <v>130</v>
      </c>
      <c r="IB77" s="28"/>
      <c r="IC77" s="28"/>
      <c r="ID77" s="28"/>
      <c r="IE77" s="28"/>
      <c r="IF77" s="28"/>
      <c r="IG77" s="28"/>
      <c r="IH77" s="28"/>
      <c r="II77" s="28"/>
      <c r="IJ77" s="31"/>
    </row>
    <row r="78" spans="3:244" ht="7.5" customHeight="1">
      <c r="C78" s="115"/>
      <c r="D78" s="115"/>
      <c r="E78" s="115"/>
      <c r="F78" s="115"/>
      <c r="G78" s="115"/>
      <c r="H78" s="115"/>
      <c r="I78" s="165"/>
      <c r="J78" s="28"/>
      <c r="K78" s="28"/>
      <c r="L78" s="28"/>
      <c r="M78" s="28"/>
      <c r="N78" s="28"/>
      <c r="O78" s="28"/>
      <c r="P78" s="164"/>
      <c r="Q78" s="164"/>
      <c r="R78" s="166"/>
      <c r="W78" s="115"/>
      <c r="DI78" s="7">
        <v>0</v>
      </c>
      <c r="DJ78" s="7">
        <v>0</v>
      </c>
      <c r="DK78" s="7">
        <v>0</v>
      </c>
      <c r="GG78" s="27"/>
      <c r="GH78" s="28"/>
      <c r="GI78" s="28"/>
      <c r="GJ78" s="28"/>
      <c r="GK78" s="28"/>
      <c r="GL78" s="28"/>
      <c r="GM78" s="28"/>
      <c r="GN78" s="28"/>
      <c r="GO78" s="28"/>
      <c r="GP78" s="28"/>
      <c r="GQ78" s="28"/>
      <c r="GS78" s="28"/>
      <c r="GT78" s="28"/>
      <c r="GU78" s="28"/>
      <c r="GV78" s="28"/>
      <c r="GW78" s="28"/>
      <c r="GZ78" s="28"/>
      <c r="HA78" s="28"/>
      <c r="HB78" s="28"/>
      <c r="HC78" s="28"/>
      <c r="HD78" s="28"/>
      <c r="HE78" s="28"/>
      <c r="HF78" s="28"/>
      <c r="HG78" s="28"/>
      <c r="HH78" s="28"/>
      <c r="HI78" s="28"/>
      <c r="HJ78" s="28"/>
      <c r="HK78" s="28"/>
      <c r="HL78" s="28"/>
      <c r="HM78" s="28"/>
      <c r="HN78" s="28"/>
      <c r="HO78" s="28"/>
      <c r="HP78" s="28"/>
      <c r="HQ78" s="28"/>
      <c r="HR78" s="28"/>
      <c r="HS78" s="28"/>
      <c r="HT78" s="28"/>
      <c r="HU78" s="28"/>
      <c r="HV78" s="28"/>
      <c r="HW78" s="28"/>
      <c r="HX78" s="28"/>
      <c r="HY78" s="89" t="s">
        <v>77</v>
      </c>
      <c r="HZ78" s="191" t="s">
        <v>130</v>
      </c>
      <c r="IB78" s="28"/>
      <c r="IC78" s="28"/>
      <c r="ID78" s="28"/>
      <c r="IE78" s="28"/>
      <c r="IF78" s="28"/>
      <c r="IG78" s="28"/>
      <c r="IH78" s="28"/>
      <c r="II78" s="28"/>
      <c r="IJ78" s="31"/>
    </row>
    <row r="79" spans="3:244" ht="12.75">
      <c r="C79" s="115">
        <f>SUM((C40+D40+E40+F40)/($C$40+$D$40+$E$40+$F$40))</f>
        <v>1</v>
      </c>
      <c r="D79" s="115"/>
      <c r="E79" s="115"/>
      <c r="F79" s="115"/>
      <c r="G79" s="115">
        <f>IF(G40=0,0,G40/$G$40)</f>
        <v>0</v>
      </c>
      <c r="H79" s="115">
        <f>IF(H40=0,0,H40/$H$40)</f>
        <v>1</v>
      </c>
      <c r="I79" s="167" t="s">
        <v>117</v>
      </c>
      <c r="J79" s="28"/>
      <c r="K79" s="28"/>
      <c r="L79" s="237"/>
      <c r="M79" s="237"/>
      <c r="N79" s="237"/>
      <c r="O79" s="237"/>
      <c r="P79" s="237"/>
      <c r="Q79" s="237"/>
      <c r="R79" s="168"/>
      <c r="W79" s="115"/>
      <c r="DI79" s="7">
        <v>0</v>
      </c>
      <c r="DJ79" s="7">
        <v>0</v>
      </c>
      <c r="DK79" s="7">
        <v>0</v>
      </c>
      <c r="GG79" s="33"/>
      <c r="GH79" s="34"/>
      <c r="GI79" s="34"/>
      <c r="GJ79" s="34"/>
      <c r="GK79" s="34"/>
      <c r="GL79" s="34"/>
      <c r="GM79" s="34"/>
      <c r="GN79" s="34"/>
      <c r="GO79" s="34"/>
      <c r="GP79" s="34"/>
      <c r="GQ79" s="34"/>
      <c r="GS79" s="34"/>
      <c r="GT79" s="34"/>
      <c r="GU79" s="34"/>
      <c r="GV79" s="34"/>
      <c r="GW79" s="28"/>
      <c r="GZ79" s="34"/>
      <c r="HA79" s="34"/>
      <c r="HB79" s="34"/>
      <c r="HC79" s="34"/>
      <c r="HD79" s="34"/>
      <c r="HE79" s="34"/>
      <c r="HF79" s="34"/>
      <c r="HG79" s="34"/>
      <c r="HH79" s="34"/>
      <c r="HI79" s="34"/>
      <c r="HJ79" s="34"/>
      <c r="HK79" s="34"/>
      <c r="HL79" s="34"/>
      <c r="HM79" s="34"/>
      <c r="HN79" s="34"/>
      <c r="HO79" s="34"/>
      <c r="HP79" s="34"/>
      <c r="HQ79" s="34"/>
      <c r="HR79" s="34"/>
      <c r="HS79" s="34"/>
      <c r="HT79" s="34"/>
      <c r="HU79" s="34"/>
      <c r="HV79" s="34"/>
      <c r="HW79" s="34"/>
      <c r="HX79" s="34"/>
      <c r="HY79" s="89" t="s">
        <v>78</v>
      </c>
      <c r="HZ79" s="28" t="s">
        <v>129</v>
      </c>
      <c r="IB79" s="34"/>
      <c r="IC79" s="34"/>
      <c r="ID79" s="34"/>
      <c r="IE79" s="34"/>
      <c r="IF79" s="34"/>
      <c r="IG79" s="34"/>
      <c r="IH79" s="34"/>
      <c r="II79" s="34"/>
      <c r="IJ79" s="35"/>
    </row>
    <row r="80" spans="3:234" ht="6" customHeight="1">
      <c r="C80" s="115">
        <f>SUM((C41+D41+E41+F41)/($C$40+$D$40+$E$40+$F$40))</f>
        <v>1.7144499178981938</v>
      </c>
      <c r="D80" s="115"/>
      <c r="E80" s="115"/>
      <c r="F80" s="115"/>
      <c r="G80" s="115">
        <f>IF(G41=0,0,G41/$G$40)</f>
        <v>0</v>
      </c>
      <c r="H80" s="115">
        <f>IF(H41=0,0,H41/$H$40)</f>
        <v>1.4061032863849767</v>
      </c>
      <c r="I80" s="169"/>
      <c r="J80" s="170"/>
      <c r="K80" s="170"/>
      <c r="L80" s="170"/>
      <c r="M80" s="170"/>
      <c r="N80" s="170"/>
      <c r="O80" s="170"/>
      <c r="P80" s="170"/>
      <c r="Q80" s="170"/>
      <c r="R80" s="171"/>
      <c r="W80" s="115"/>
      <c r="DI80" s="7">
        <v>0</v>
      </c>
      <c r="DJ80" s="7">
        <v>0</v>
      </c>
      <c r="DK80" s="7">
        <v>0</v>
      </c>
      <c r="HY80" s="89" t="s">
        <v>79</v>
      </c>
      <c r="HZ80" s="191" t="s">
        <v>130</v>
      </c>
    </row>
    <row r="81" spans="3:233" ht="12.75">
      <c r="C81" s="115">
        <f>SUM((C42+D42+E42+F42)/($C$40+$D$40+$E$40+$F$40))</f>
        <v>1.6673234811165842</v>
      </c>
      <c r="D81" s="115"/>
      <c r="E81" s="115"/>
      <c r="F81" s="115"/>
      <c r="G81" s="115">
        <f>IF(G42=0,0,G42/$G$40)</f>
        <v>0</v>
      </c>
      <c r="H81" s="115">
        <f>IF(H42=0,0,H42/$H$40)</f>
        <v>1.2910798122065728</v>
      </c>
      <c r="W81" s="115"/>
      <c r="DI81" s="89"/>
      <c r="DJ81" s="89"/>
      <c r="DK81" s="89"/>
      <c r="HY81" s="99" t="s">
        <v>84</v>
      </c>
    </row>
    <row r="82" spans="3:115" ht="15.75">
      <c r="C82" s="115">
        <f>SUM((C43+D43+E43+F43)/($C$40+$D$40+$E$40+$F$40))</f>
        <v>2.358949096880131</v>
      </c>
      <c r="D82" s="115"/>
      <c r="E82" s="115"/>
      <c r="F82" s="115"/>
      <c r="G82" s="115">
        <f>IF(G43=0,0,G43/$G$40)</f>
        <v>0</v>
      </c>
      <c r="H82" s="115">
        <f>IF(H43=0,0,H43/$H$40)</f>
        <v>1.8591549295774648</v>
      </c>
      <c r="I82" s="65"/>
      <c r="W82" s="115"/>
      <c r="DI82" s="89"/>
      <c r="DJ82" s="89"/>
      <c r="DK82" s="89"/>
    </row>
    <row r="83" spans="113:115" ht="12.75">
      <c r="DI83" s="89"/>
      <c r="DJ83" s="89"/>
      <c r="DK83" s="89"/>
    </row>
    <row r="84" spans="9:115" ht="12.75">
      <c r="I84" s="231"/>
      <c r="J84" s="232"/>
      <c r="K84" s="232"/>
      <c r="L84" s="232"/>
      <c r="M84" s="232"/>
      <c r="N84" s="232"/>
      <c r="O84" s="232"/>
      <c r="P84" s="232"/>
      <c r="Q84" s="232"/>
      <c r="R84" s="232"/>
      <c r="DI84" s="89"/>
      <c r="DJ84" s="89"/>
      <c r="DK84" s="89"/>
    </row>
    <row r="85" spans="2:115" ht="12.75">
      <c r="B85">
        <f>SUM(K28+K34+K40)</f>
        <v>0</v>
      </c>
      <c r="C85" t="str">
        <f>IF($J$48="",(((K28*(C28+D28+E28+F28))+(K34*(C34+D34+E34+F34)))+(K40*(C40+D40+E40+F40))),"Error")</f>
        <v>Error</v>
      </c>
      <c r="G85" t="str">
        <f>IF($J$48="",((K28*G28)+(K34*G34)+(K40*G40)),"Error")</f>
        <v>Error</v>
      </c>
      <c r="H85" t="str">
        <f>IF($J$48="",((K28*H28)+(K34*H34)+(K40*H40)),"Error")</f>
        <v>Error</v>
      </c>
      <c r="DI85" s="89"/>
      <c r="DJ85" s="89"/>
      <c r="DK85" s="89"/>
    </row>
    <row r="86" spans="2:115" ht="12.75">
      <c r="B86">
        <f>SUM(K29+K35+K41)</f>
        <v>0</v>
      </c>
      <c r="C86" t="str">
        <f>IF($J$48="",(((K29*(C29+D29+E29+F29))+(K35*(C35+D35+E35+F35)))+(K41*(C41+D41+E41+F41))),"Error")</f>
        <v>Error</v>
      </c>
      <c r="G86" t="str">
        <f>IF($J$48="",((K29*G29)+(K35*G35)+(K41*G41)),"Error")</f>
        <v>Error</v>
      </c>
      <c r="H86" t="str">
        <f>IF($J$48="",((K29*H29)+(K35*H35)+(K41*H41)),"Error")</f>
        <v>Error</v>
      </c>
      <c r="I86" s="64"/>
      <c r="J86" s="233"/>
      <c r="K86" s="234"/>
      <c r="L86" s="234"/>
      <c r="M86" s="234"/>
      <c r="N86" s="234"/>
      <c r="O86" s="234"/>
      <c r="P86" s="234"/>
      <c r="Q86" s="234"/>
      <c r="R86" s="234"/>
      <c r="DI86" s="20">
        <v>100</v>
      </c>
      <c r="DJ86" s="20">
        <v>200</v>
      </c>
      <c r="DK86" s="20">
        <v>500</v>
      </c>
    </row>
    <row r="87" spans="2:115" ht="12.75" customHeight="1">
      <c r="B87">
        <f>SUM(K30+K36+K42)</f>
        <v>0</v>
      </c>
      <c r="C87" t="str">
        <f>IF($J$48="",(((K30*(C30+D30+E30+F30))+(K36*(C36+D36+E36+F36)))+(K42*(C42+D42+E42+F42))),"Error")</f>
        <v>Error</v>
      </c>
      <c r="G87" t="str">
        <f>IF($J$48="",((K30*G30)+(K36*G36)+(K42*G42)),"Error")</f>
        <v>Error</v>
      </c>
      <c r="H87" t="str">
        <f>IF($J$48="",((K30*H30)+(K36*H36)+(K42*H42)),"Error")</f>
        <v>Error</v>
      </c>
      <c r="I87" s="64"/>
      <c r="J87" s="214"/>
      <c r="K87" s="235"/>
      <c r="L87" s="235"/>
      <c r="M87" s="235"/>
      <c r="N87" s="235"/>
      <c r="O87" s="235"/>
      <c r="P87" s="235"/>
      <c r="Q87" s="235"/>
      <c r="R87" s="235"/>
      <c r="DI87" s="7">
        <v>0</v>
      </c>
      <c r="DJ87" s="7">
        <v>0</v>
      </c>
      <c r="DK87" s="7">
        <v>0</v>
      </c>
    </row>
    <row r="88" spans="2:115" ht="63.75" customHeight="1">
      <c r="B88">
        <f>SUM(K31+K37+K43)</f>
        <v>0</v>
      </c>
      <c r="C88" t="str">
        <f>IF($J$48="",(((K31*(C31+D31+E31+F31))+(K37*(C37+D37+E37+F37)))+(K43*(C43+D43+E43+F43))),"Error")</f>
        <v>Error</v>
      </c>
      <c r="G88" t="str">
        <f>IF($J$48="",((K31*G31)+(K37*G37)+(K43*G43)),"Error")</f>
        <v>Error</v>
      </c>
      <c r="H88" t="str">
        <f>IF($J$48="",((K31*H31)+(K37*H37)+(K43*H43)),"Error")</f>
        <v>Error</v>
      </c>
      <c r="I88" s="64"/>
      <c r="J88" s="214"/>
      <c r="K88" s="235"/>
      <c r="L88" s="235"/>
      <c r="M88" s="235"/>
      <c r="N88" s="235"/>
      <c r="O88" s="235"/>
      <c r="P88" s="235"/>
      <c r="Q88" s="235"/>
      <c r="R88" s="235"/>
      <c r="DI88" s="7">
        <v>0</v>
      </c>
      <c r="DJ88" s="7">
        <v>0</v>
      </c>
      <c r="DK88" s="7">
        <v>0</v>
      </c>
    </row>
    <row r="89" spans="1:115" ht="25.5" customHeight="1">
      <c r="A89" s="17" t="s">
        <v>56</v>
      </c>
      <c r="B89">
        <f>SUM(B85:B88)</f>
        <v>0</v>
      </c>
      <c r="C89">
        <f>SUM(C85:C88)</f>
        <v>0</v>
      </c>
      <c r="G89">
        <f>SUM(G85:G88)</f>
        <v>0</v>
      </c>
      <c r="H89">
        <f>SUM(H85:H88)</f>
        <v>0</v>
      </c>
      <c r="I89" s="64"/>
      <c r="J89" s="214"/>
      <c r="K89" s="235"/>
      <c r="L89" s="235"/>
      <c r="M89" s="235"/>
      <c r="N89" s="235"/>
      <c r="O89" s="235"/>
      <c r="P89" s="235"/>
      <c r="Q89" s="235"/>
      <c r="R89" s="235"/>
      <c r="AA89" s="117"/>
      <c r="AB89" s="117"/>
      <c r="AC89" s="17"/>
      <c r="AD89" s="17"/>
      <c r="AE89" s="17"/>
      <c r="DI89" s="7">
        <v>0</v>
      </c>
      <c r="DJ89" s="7">
        <v>0</v>
      </c>
      <c r="DK89" s="7">
        <v>0</v>
      </c>
    </row>
    <row r="90" spans="9:115" ht="12.75">
      <c r="I90" s="64"/>
      <c r="J90" s="233"/>
      <c r="K90" s="234"/>
      <c r="L90" s="234"/>
      <c r="M90" s="234"/>
      <c r="N90" s="234"/>
      <c r="O90" s="234"/>
      <c r="P90" s="234"/>
      <c r="Q90" s="234"/>
      <c r="R90" s="234"/>
      <c r="Z90" s="116"/>
      <c r="AA90" s="116"/>
      <c r="AB90" s="116"/>
      <c r="AC90" s="116"/>
      <c r="AD90" s="116"/>
      <c r="AE90" s="116"/>
      <c r="DI90" s="7">
        <v>0</v>
      </c>
      <c r="DJ90" s="7">
        <v>0</v>
      </c>
      <c r="DK90" s="7">
        <v>0</v>
      </c>
    </row>
    <row r="91" spans="9:31" ht="12.75">
      <c r="I91" s="64"/>
      <c r="J91" s="233"/>
      <c r="K91" s="234"/>
      <c r="L91" s="234"/>
      <c r="M91" s="234"/>
      <c r="N91" s="234"/>
      <c r="O91" s="234"/>
      <c r="P91" s="234"/>
      <c r="Q91" s="234"/>
      <c r="R91" s="234"/>
      <c r="W91" s="41"/>
      <c r="X91" s="42"/>
      <c r="Y91" s="42"/>
      <c r="Z91" s="1"/>
      <c r="AA91" s="1"/>
      <c r="AB91" s="1"/>
      <c r="AC91" s="119"/>
      <c r="AD91" s="118"/>
      <c r="AE91" s="118"/>
    </row>
    <row r="92" spans="2:31" ht="12.75">
      <c r="B92" s="21" t="s">
        <v>10</v>
      </c>
      <c r="C92" s="1" t="e">
        <f>SUM(C85/B85)</f>
        <v>#VALUE!</v>
      </c>
      <c r="G92" t="e">
        <f>SUM(G85/B85)</f>
        <v>#VALUE!</v>
      </c>
      <c r="H92" t="e">
        <f>SUM(H85/B85)</f>
        <v>#VALUE!</v>
      </c>
      <c r="I92" s="64"/>
      <c r="J92" s="233"/>
      <c r="K92" s="234"/>
      <c r="L92" s="234"/>
      <c r="M92" s="234"/>
      <c r="N92" s="234"/>
      <c r="O92" s="234"/>
      <c r="P92" s="234"/>
      <c r="Q92" s="234"/>
      <c r="R92" s="234"/>
      <c r="W92" s="41"/>
      <c r="X92" s="42"/>
      <c r="Y92" s="42"/>
      <c r="Z92" s="1"/>
      <c r="AA92" s="1"/>
      <c r="AB92" s="1"/>
      <c r="AC92" s="119"/>
      <c r="AD92" s="118"/>
      <c r="AE92" s="118"/>
    </row>
    <row r="93" spans="9:31" ht="12.75">
      <c r="I93" s="64"/>
      <c r="J93" s="233"/>
      <c r="K93" s="234"/>
      <c r="L93" s="234"/>
      <c r="M93" s="234"/>
      <c r="N93" s="234"/>
      <c r="O93" s="234"/>
      <c r="P93" s="234"/>
      <c r="Q93" s="234"/>
      <c r="R93" s="234"/>
      <c r="W93" s="41"/>
      <c r="X93" s="42"/>
      <c r="Y93" s="42"/>
      <c r="Z93" s="1"/>
      <c r="AA93" s="1"/>
      <c r="AB93" s="1"/>
      <c r="AC93" s="119"/>
      <c r="AD93" s="118"/>
      <c r="AE93" s="118"/>
    </row>
    <row r="94" spans="2:31" ht="25.5" customHeight="1">
      <c r="B94" s="17" t="s">
        <v>107</v>
      </c>
      <c r="C94" s="1" t="e">
        <f>SUM(C92/$C$92)</f>
        <v>#VALUE!</v>
      </c>
      <c r="G94" s="1" t="e">
        <f>IF(G92=0,0,(G92/$G$92))</f>
        <v>#VALUE!</v>
      </c>
      <c r="H94" s="1" t="e">
        <f>IF(H92=0,0,(H92/$H$92))</f>
        <v>#VALUE!</v>
      </c>
      <c r="I94" s="64"/>
      <c r="J94" s="214"/>
      <c r="K94" s="235"/>
      <c r="L94" s="235"/>
      <c r="M94" s="235"/>
      <c r="N94" s="235"/>
      <c r="O94" s="235"/>
      <c r="P94" s="235"/>
      <c r="Q94" s="235"/>
      <c r="R94" s="235"/>
      <c r="W94" s="41"/>
      <c r="X94" s="42"/>
      <c r="Y94" s="42"/>
      <c r="Z94" s="1"/>
      <c r="AA94" s="1"/>
      <c r="AB94" s="1"/>
      <c r="AC94" s="119"/>
      <c r="AD94" s="118"/>
      <c r="AE94" s="118"/>
    </row>
    <row r="95" spans="2:18" ht="25.5" customHeight="1">
      <c r="B95" s="17" t="s">
        <v>108</v>
      </c>
      <c r="C95" s="1" t="e">
        <f>C94</f>
        <v>#VALUE!</v>
      </c>
      <c r="G95" s="1" t="e">
        <f>G94</f>
        <v>#VALUE!</v>
      </c>
      <c r="H95" s="1" t="e">
        <f>H94</f>
        <v>#VALUE!</v>
      </c>
      <c r="I95" s="64"/>
      <c r="J95" s="214"/>
      <c r="K95" s="235"/>
      <c r="L95" s="235"/>
      <c r="M95" s="235"/>
      <c r="N95" s="235"/>
      <c r="O95" s="235"/>
      <c r="P95" s="235"/>
      <c r="Q95" s="235"/>
      <c r="R95" s="235"/>
    </row>
    <row r="96" spans="2:31" s="62" customFormat="1" ht="25.5" customHeight="1">
      <c r="B96" s="157" t="s">
        <v>109</v>
      </c>
      <c r="C96" s="160" t="e">
        <f>C95*K52</f>
        <v>#VALUE!</v>
      </c>
      <c r="G96" s="160" t="e">
        <f>G95*K52</f>
        <v>#VALUE!</v>
      </c>
      <c r="H96" s="160" t="e">
        <f>H95*K52</f>
        <v>#VALUE!</v>
      </c>
      <c r="I96" s="64"/>
      <c r="J96" s="214"/>
      <c r="K96" s="235"/>
      <c r="L96" s="235"/>
      <c r="M96" s="235"/>
      <c r="N96" s="235"/>
      <c r="O96" s="235"/>
      <c r="P96" s="235"/>
      <c r="Q96" s="235"/>
      <c r="R96" s="235"/>
      <c r="W96"/>
      <c r="X96"/>
      <c r="Y96"/>
      <c r="Z96"/>
      <c r="AA96"/>
      <c r="AB96" s="1"/>
      <c r="AC96"/>
      <c r="AD96"/>
      <c r="AE96" s="118"/>
    </row>
    <row r="97" spans="2:18" ht="38.25" customHeight="1">
      <c r="B97" s="17" t="s">
        <v>110</v>
      </c>
      <c r="C97" s="1" t="e">
        <f>SUM(C95*($C$89/($C$96+$C$105+$C$114+$C$123))*$K52)</f>
        <v>#VALUE!</v>
      </c>
      <c r="G97" s="1">
        <f>IF(G89=0,G89,((G95*($G$89/($G$96+$G$105+$G$114+$G$123))*$K52)))</f>
        <v>0</v>
      </c>
      <c r="H97" s="1">
        <f>IF(H89=0,0,((H95*($H$89/($H$96+$H$105+$H$114+$H$123))*$K52)))</f>
        <v>0</v>
      </c>
      <c r="I97" s="64"/>
      <c r="J97" s="214"/>
      <c r="K97" s="235"/>
      <c r="L97" s="235"/>
      <c r="M97" s="235"/>
      <c r="N97" s="235"/>
      <c r="O97" s="235"/>
      <c r="P97" s="235"/>
      <c r="Q97" s="235"/>
      <c r="R97" s="235"/>
    </row>
    <row r="98" spans="2:18" ht="25.5" customHeight="1">
      <c r="B98" s="17" t="s">
        <v>111</v>
      </c>
      <c r="C98" s="163" t="e">
        <f>SUM($C$89/($C$96+$C$105+$C$114+$C$123)*C95)</f>
        <v>#VALUE!</v>
      </c>
      <c r="D98" s="21"/>
      <c r="E98" s="21"/>
      <c r="F98" s="21"/>
      <c r="G98" s="163">
        <f>IF(G89=0,0,(($G$89/($G$96+$G$105+$G$114+$G$123)*G95)))</f>
        <v>0</v>
      </c>
      <c r="H98" s="163">
        <f>IF(H89=0,0,(($H$89/($H$96+$H$105+$H$114+$H$123)*H95)))</f>
        <v>0</v>
      </c>
      <c r="I98" s="64"/>
      <c r="J98" s="214"/>
      <c r="K98" s="235"/>
      <c r="L98" s="235"/>
      <c r="M98" s="235"/>
      <c r="N98" s="235"/>
      <c r="O98" s="235"/>
      <c r="P98" s="235"/>
      <c r="Q98" s="235"/>
      <c r="R98" s="235"/>
    </row>
    <row r="99" spans="2:8" ht="12.75">
      <c r="B99" s="17" t="s">
        <v>112</v>
      </c>
      <c r="C99" s="1" t="e">
        <f>SUM(C98*K52)</f>
        <v>#VALUE!</v>
      </c>
      <c r="G99" s="1" t="e">
        <f>SUM(G98*K52)</f>
        <v>#VALUE!</v>
      </c>
      <c r="H99" s="1" t="e">
        <f>SUM(H98*K52)</f>
        <v>#VALUE!</v>
      </c>
    </row>
    <row r="101" ht="15.75">
      <c r="I101" s="65"/>
    </row>
    <row r="102" spans="2:8" ht="12.75">
      <c r="B102" s="21" t="s">
        <v>11</v>
      </c>
      <c r="C102" s="1" t="e">
        <f>C86/B86</f>
        <v>#VALUE!</v>
      </c>
      <c r="G102" s="1" t="e">
        <f>G86/B86</f>
        <v>#VALUE!</v>
      </c>
      <c r="H102" s="1" t="e">
        <f>H86/B86</f>
        <v>#VALUE!</v>
      </c>
    </row>
    <row r="103" spans="2:18" ht="51" customHeight="1">
      <c r="B103" s="17" t="s">
        <v>107</v>
      </c>
      <c r="C103" s="1" t="e">
        <f>SUM(C102/C92)</f>
        <v>#VALUE!</v>
      </c>
      <c r="G103" s="1" t="e">
        <f>IF(G102=0,0,((G102/G92)))</f>
        <v>#VALUE!</v>
      </c>
      <c r="H103" s="1" t="e">
        <f>IF(H102=0,0,((H102/H92)))</f>
        <v>#VALUE!</v>
      </c>
      <c r="I103" s="64"/>
      <c r="J103" s="214"/>
      <c r="K103" s="235"/>
      <c r="L103" s="235"/>
      <c r="M103" s="235"/>
      <c r="N103" s="235"/>
      <c r="O103" s="235"/>
      <c r="P103" s="235"/>
      <c r="Q103" s="235"/>
      <c r="R103" s="235"/>
    </row>
    <row r="104" spans="2:18" ht="38.25" customHeight="1">
      <c r="B104" s="17" t="s">
        <v>108</v>
      </c>
      <c r="C104" s="162">
        <f>IF(ISERROR(((C68*K29)+(C74*K35)+(C80*K41))/K53),((3*C68)+(2*C74)+(1*C80))/(6),((C68*K29)+(C74*K35)+(C80*K41))/K53)</f>
        <v>1.7804480440999366</v>
      </c>
      <c r="G104" s="162">
        <f>IF(ISERROR(((G68*K29)+(G74*K35)+(G80*K41))/K53),((3*G68)+(2*G74)+(1*G80))/(6),((G68*K29)+(G74*K35)+(G80*K41))/K53)</f>
        <v>0</v>
      </c>
      <c r="H104" s="162">
        <f>IF(ISERROR(((H68*K29)+(H74*K35)+(H80*K41))/K53),((3*H68)+(2*H74)+(1*H80))/(6),((H68*K29)+(H74*K35)+(H80*K41))/K53)</f>
        <v>1.4061032863849767</v>
      </c>
      <c r="I104" s="64"/>
      <c r="J104" s="214"/>
      <c r="K104" s="235"/>
      <c r="L104" s="235"/>
      <c r="M104" s="235"/>
      <c r="N104" s="235"/>
      <c r="O104" s="235"/>
      <c r="P104" s="235"/>
      <c r="Q104" s="235"/>
      <c r="R104" s="235"/>
    </row>
    <row r="105" spans="2:8" ht="12.75">
      <c r="B105" s="157" t="s">
        <v>109</v>
      </c>
      <c r="C105" s="1" t="e">
        <f>SUM(C104*K53)</f>
        <v>#VALUE!</v>
      </c>
      <c r="G105" s="1" t="e">
        <f>SUM(G104*K53)</f>
        <v>#VALUE!</v>
      </c>
      <c r="H105" s="1" t="e">
        <f>SUM(H104*K53)</f>
        <v>#VALUE!</v>
      </c>
    </row>
    <row r="106" spans="2:8" ht="12.75">
      <c r="B106" s="17" t="s">
        <v>110</v>
      </c>
      <c r="C106" s="1" t="e">
        <f>SUM(C104*($C$89/($C$96+$C$105+$C$114+$C$123))*$K53)</f>
        <v>#VALUE!</v>
      </c>
      <c r="G106" s="1">
        <f>IF(G89=0,0,((G104*($G$89/($G$96+$G$105+$G$114+$G$123))*$K53)))</f>
        <v>0</v>
      </c>
      <c r="H106" s="1">
        <f>IF(H89=0,0,((H104*($H$89/($H$96+$H$105+$H$114+$H$123))*$K53)))</f>
        <v>0</v>
      </c>
    </row>
    <row r="107" spans="2:18" ht="38.25" customHeight="1">
      <c r="B107" s="17" t="s">
        <v>111</v>
      </c>
      <c r="C107" s="163" t="e">
        <f>SUM($C$89/($C$96+$C$105+$C$114+$C$123)*C104)</f>
        <v>#VALUE!</v>
      </c>
      <c r="D107" s="21"/>
      <c r="E107" s="21"/>
      <c r="F107" s="21"/>
      <c r="G107" s="163">
        <f>IF(G89=0,0,(($G$89/($G$96+$G$105+$G$114+$G$123)*G104)))</f>
        <v>0</v>
      </c>
      <c r="H107" s="163">
        <f>IF(H89=0,0,(($H$89/($H$96+$H$105+$H$114+$H$123)*H104)))</f>
        <v>0</v>
      </c>
      <c r="I107" s="242"/>
      <c r="J107" s="242"/>
      <c r="K107" s="242"/>
      <c r="L107" s="242"/>
      <c r="M107" s="242"/>
      <c r="N107" s="242"/>
      <c r="O107" s="242"/>
      <c r="P107" s="242"/>
      <c r="Q107" s="242"/>
      <c r="R107" s="242"/>
    </row>
    <row r="108" spans="2:10" ht="7.5" customHeight="1">
      <c r="B108" s="17" t="s">
        <v>112</v>
      </c>
      <c r="C108" s="1" t="e">
        <f>SUM(C107*K53)</f>
        <v>#VALUE!</v>
      </c>
      <c r="G108" s="1" t="e">
        <f>SUM(G107*K53)</f>
        <v>#VALUE!</v>
      </c>
      <c r="H108" s="1" t="e">
        <f>SUM(H107*K53)</f>
        <v>#VALUE!</v>
      </c>
      <c r="J108" s="66"/>
    </row>
    <row r="109" spans="3:18" s="100" customFormat="1" ht="12.75">
      <c r="C109" s="161"/>
      <c r="G109" s="161"/>
      <c r="H109" s="161"/>
      <c r="I109" s="241"/>
      <c r="J109" s="241"/>
      <c r="K109" s="241"/>
      <c r="L109" s="241"/>
      <c r="M109" s="241"/>
      <c r="N109" s="241"/>
      <c r="O109" s="241"/>
      <c r="P109" s="241"/>
      <c r="Q109" s="241"/>
      <c r="R109" s="241"/>
    </row>
    <row r="110" spans="3:8" ht="12.75" customHeight="1">
      <c r="C110" s="1"/>
      <c r="G110" s="1"/>
      <c r="H110" s="1"/>
    </row>
    <row r="111" spans="2:18" ht="25.5" customHeight="1">
      <c r="B111" s="21" t="s">
        <v>12</v>
      </c>
      <c r="C111" s="1" t="e">
        <f>C87/B87</f>
        <v>#VALUE!</v>
      </c>
      <c r="G111" s="1" t="e">
        <f>G87/B87</f>
        <v>#VALUE!</v>
      </c>
      <c r="H111" s="1" t="e">
        <f>H87/B87</f>
        <v>#VALUE!</v>
      </c>
      <c r="I111" s="235"/>
      <c r="J111" s="235"/>
      <c r="K111" s="235"/>
      <c r="L111" s="235"/>
      <c r="M111" s="235"/>
      <c r="N111" s="235"/>
      <c r="O111" s="235"/>
      <c r="P111" s="235"/>
      <c r="Q111" s="235"/>
      <c r="R111" s="235"/>
    </row>
    <row r="112" spans="2:8" ht="12.75">
      <c r="B112" s="17" t="s">
        <v>107</v>
      </c>
      <c r="C112" s="1" t="e">
        <f>C111/C92</f>
        <v>#VALUE!</v>
      </c>
      <c r="G112" s="1" t="e">
        <f>IF(G111=0,0,(G111/G92))</f>
        <v>#VALUE!</v>
      </c>
      <c r="H112" s="1" t="e">
        <f>IF(H111=0,0,(H111/H92))</f>
        <v>#VALUE!</v>
      </c>
    </row>
    <row r="113" spans="2:8" ht="12.75">
      <c r="B113" s="17" t="s">
        <v>108</v>
      </c>
      <c r="C113" s="1">
        <f>IF(ISERROR(((C69*K30)+(C75*K36)+(C81*K42))/K54),((3*C69)+(2*C75)+(1*C81))/(6),((C69*K30)+(C75*K36)+(C81*K42))/K54)</f>
        <v>2.1071043906304205</v>
      </c>
      <c r="G113" s="1">
        <f>IF(ISERROR(((G69*K30)+(G75*K36)+(G81*K42))/K54),((3*G69)+(2*G75)+(1*G81))/(6),((G69*K30)+(G75*K36)+(G81*K42))/K54)</f>
        <v>0</v>
      </c>
      <c r="H113" s="1">
        <f>IF(ISERROR(((H69*K30)+(H75*K36)+(H81*K42))/K54),((3*H69)+(2*H75)+(1*H81))/(6),((H69*K30)+(H75*K36)+(H81*K42))/K54)</f>
        <v>1.2910798122065728</v>
      </c>
    </row>
    <row r="114" spans="2:8" ht="12.75">
      <c r="B114" s="157" t="s">
        <v>109</v>
      </c>
      <c r="C114" s="1" t="e">
        <f>SUM(C113*K54)</f>
        <v>#VALUE!</v>
      </c>
      <c r="G114" s="1" t="e">
        <f>SUM(G113*K54)</f>
        <v>#VALUE!</v>
      </c>
      <c r="H114" s="1" t="e">
        <f>SUM(H113*K54)</f>
        <v>#VALUE!</v>
      </c>
    </row>
    <row r="115" spans="2:8" ht="12.75">
      <c r="B115" s="17" t="s">
        <v>110</v>
      </c>
      <c r="C115" s="1" t="e">
        <f>SUM(C113*($C$89/($C$96+$C$105+$C$114+$C$123))*$K54)</f>
        <v>#VALUE!</v>
      </c>
      <c r="G115" s="1">
        <f>IF(G89=0,0,((G113*($G$89/($G$96+$G$105+$G$114+$G$123))*$K54)))</f>
        <v>0</v>
      </c>
      <c r="H115" s="1">
        <f>IF(H89=0,0,((H113*($H$89/($H$96+$H$105+$H$114+$H$123))*$K54)))</f>
        <v>0</v>
      </c>
    </row>
    <row r="116" spans="2:8" ht="12.75">
      <c r="B116" s="17" t="s">
        <v>111</v>
      </c>
      <c r="C116" s="163" t="e">
        <f>SUM($C$89/($C$96+$C$105+$C$114+$C$123)*C113)</f>
        <v>#VALUE!</v>
      </c>
      <c r="D116" s="21"/>
      <c r="E116" s="21"/>
      <c r="F116" s="21"/>
      <c r="G116" s="163">
        <f>IF(G89=0,0,(($G$89/($G$96+$G$105+$G$114+$G$123)*G113)))</f>
        <v>0</v>
      </c>
      <c r="H116" s="163">
        <f>IF(H89=0,0,(($H$89/($H$96+$H$105+$H$114+$H$123)*H113)))</f>
        <v>0</v>
      </c>
    </row>
    <row r="117" spans="2:8" ht="12.75">
      <c r="B117" s="17" t="s">
        <v>112</v>
      </c>
      <c r="C117" s="1" t="e">
        <f>SUM(C116*K54)</f>
        <v>#VALUE!</v>
      </c>
      <c r="G117" s="1" t="e">
        <f>SUM(G116*K54)</f>
        <v>#VALUE!</v>
      </c>
      <c r="H117" s="1" t="e">
        <f>SUM(H116*K54)</f>
        <v>#VALUE!</v>
      </c>
    </row>
    <row r="118" spans="3:8" ht="12.75">
      <c r="C118" s="1"/>
      <c r="G118" s="1"/>
      <c r="H118" s="1"/>
    </row>
    <row r="119" spans="3:8" ht="12.75">
      <c r="C119" s="1"/>
      <c r="G119" s="1"/>
      <c r="H119" s="1"/>
    </row>
    <row r="120" spans="2:8" ht="12.75">
      <c r="B120" s="21" t="s">
        <v>13</v>
      </c>
      <c r="C120" s="1" t="e">
        <f>C88/B88</f>
        <v>#VALUE!</v>
      </c>
      <c r="G120" s="1" t="e">
        <f>G88/B88</f>
        <v>#VALUE!</v>
      </c>
      <c r="H120" s="1" t="e">
        <f>H88/B88</f>
        <v>#VALUE!</v>
      </c>
    </row>
    <row r="121" spans="2:8" ht="12.75">
      <c r="B121" s="17" t="s">
        <v>107</v>
      </c>
      <c r="C121" s="1" t="e">
        <f>SUM(C120/C92)</f>
        <v>#VALUE!</v>
      </c>
      <c r="G121" s="1" t="e">
        <f>IF(G120=0,0,((G120/G92)))</f>
        <v>#VALUE!</v>
      </c>
      <c r="H121" s="1" t="e">
        <f>IF(H120=0,0,((H120/H92)))</f>
        <v>#VALUE!</v>
      </c>
    </row>
    <row r="122" spans="2:8" ht="12.75">
      <c r="B122" s="17" t="s">
        <v>108</v>
      </c>
      <c r="C122" s="1">
        <f>IF(ISERROR(((C70*K31)+(C76*K37)+(C82*K43))/K55),((3*C70)+(2*C76)+(1*C82))/(6),((C70*K31)+(C76*K37)+(C82*K43))/K55)</f>
        <v>2.8535246579597384</v>
      </c>
      <c r="G122" s="1">
        <f>IF(ISERROR(((G70*K31)+(G76*K37)+(G82*K43))/K55),((3*G70)+(2*G76)+(1*G82))/(6),((G70*K31)+(G76*K37)+(G82*K43))/K55)</f>
        <v>0</v>
      </c>
      <c r="H122" s="1">
        <f>IF(ISERROR(((H70*K31)+(H76*K37)+(H82*K43))/K55),((3*H70)+(2*H76)+(1*H82))/(6),((H70*K31)+(H76*K37)+(H82*K43))/K55)</f>
        <v>1.8591549295774648</v>
      </c>
    </row>
    <row r="123" spans="2:8" ht="12.75">
      <c r="B123" s="157" t="s">
        <v>109</v>
      </c>
      <c r="C123" s="1" t="e">
        <f>SUM(C122*K55)</f>
        <v>#VALUE!</v>
      </c>
      <c r="G123" s="1" t="e">
        <f>SUM(G122*K55)</f>
        <v>#VALUE!</v>
      </c>
      <c r="H123" s="1" t="e">
        <f>SUM(H122*K55)</f>
        <v>#VALUE!</v>
      </c>
    </row>
    <row r="124" spans="2:8" ht="12.75">
      <c r="B124" s="17" t="s">
        <v>110</v>
      </c>
      <c r="C124" s="1" t="e">
        <f>SUM(C122*($C$89/($C$96+$C$105+$C$114+$C$123))*$K55)</f>
        <v>#VALUE!</v>
      </c>
      <c r="G124" s="1">
        <f>IF(G89=0,0,((G122*($G$89/($G$96+$G$105+$G$114+$G$123))*$K55)))</f>
        <v>0</v>
      </c>
      <c r="H124" s="1">
        <f>IF(H89=0,0,((H122*($H$89/($H$96+$H$105+$H$114+$H$123))*$K55)))</f>
        <v>0</v>
      </c>
    </row>
    <row r="125" spans="2:8" ht="12.75">
      <c r="B125" s="17" t="s">
        <v>111</v>
      </c>
      <c r="C125" s="163" t="e">
        <f>SUM($C$89/($C$96+$C$105+$C$114+$C$123)*C122)</f>
        <v>#VALUE!</v>
      </c>
      <c r="D125" s="21"/>
      <c r="E125" s="21"/>
      <c r="F125" s="21"/>
      <c r="G125" s="163">
        <f>IF(G89=0,0,(($G$89/($G$96+$G$105+$G$114+$G$123)*G122)))</f>
        <v>0</v>
      </c>
      <c r="H125" s="163">
        <f>IF(H89=0,0,(($H$89/($H$96+$H$105+$H$114+$H$123)*H122)))</f>
        <v>0</v>
      </c>
    </row>
    <row r="126" spans="2:8" ht="12.75">
      <c r="B126" s="17" t="s">
        <v>112</v>
      </c>
      <c r="C126" s="1" t="e">
        <f>SUM(C125*K55)</f>
        <v>#VALUE!</v>
      </c>
      <c r="G126" s="1" t="e">
        <f>SUM(G125*K55)</f>
        <v>#VALUE!</v>
      </c>
      <c r="H126" s="1" t="e">
        <f>SUM(H125*K55)</f>
        <v>#VALUE!</v>
      </c>
    </row>
    <row r="127" ht="12.75">
      <c r="C127" s="1"/>
    </row>
    <row r="128" ht="12.75">
      <c r="C128" s="1"/>
    </row>
    <row r="129" spans="3:8" ht="12.75">
      <c r="C129" s="98" t="s">
        <v>10</v>
      </c>
      <c r="D129" s="1" t="e">
        <f>(C98+G98+H98)</f>
        <v>#VALUE!</v>
      </c>
      <c r="G129" s="1"/>
      <c r="H129" s="1"/>
    </row>
    <row r="130" spans="3:4" ht="12.75">
      <c r="C130" s="98" t="s">
        <v>11</v>
      </c>
      <c r="D130" s="1" t="e">
        <f>SUM(C107+G107+H107)</f>
        <v>#VALUE!</v>
      </c>
    </row>
    <row r="131" spans="3:4" ht="12.75">
      <c r="C131" s="98" t="s">
        <v>12</v>
      </c>
      <c r="D131" s="1" t="e">
        <f>SUM(C116+G116+H116)</f>
        <v>#VALUE!</v>
      </c>
    </row>
    <row r="132" spans="3:4" ht="12.75">
      <c r="C132" s="98" t="s">
        <v>13</v>
      </c>
      <c r="D132" s="1" t="e">
        <f>SUM(C125+G125+H125)</f>
        <v>#VALUE!</v>
      </c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</sheetData>
  <sheetProtection password="DF46" sheet="1" selectLockedCells="1"/>
  <mergeCells count="53">
    <mergeCell ref="I109:R109"/>
    <mergeCell ref="I111:R111"/>
    <mergeCell ref="J96:R96"/>
    <mergeCell ref="J97:R97"/>
    <mergeCell ref="J98:R98"/>
    <mergeCell ref="J103:R103"/>
    <mergeCell ref="J104:R104"/>
    <mergeCell ref="I107:R107"/>
    <mergeCell ref="J90:R90"/>
    <mergeCell ref="J91:R91"/>
    <mergeCell ref="J92:R92"/>
    <mergeCell ref="J93:R93"/>
    <mergeCell ref="J94:R94"/>
    <mergeCell ref="J95:R95"/>
    <mergeCell ref="I84:R84"/>
    <mergeCell ref="J86:R86"/>
    <mergeCell ref="J87:R87"/>
    <mergeCell ref="J88:R88"/>
    <mergeCell ref="J89:R89"/>
    <mergeCell ref="J75:O75"/>
    <mergeCell ref="L79:Q79"/>
    <mergeCell ref="I77:J77"/>
    <mergeCell ref="L77:R77"/>
    <mergeCell ref="I73:R73"/>
    <mergeCell ref="I74:R74"/>
    <mergeCell ref="I71:R71"/>
    <mergeCell ref="I72:R72"/>
    <mergeCell ref="I66:R66"/>
    <mergeCell ref="I65:R65"/>
    <mergeCell ref="I68:R68"/>
    <mergeCell ref="I67:R67"/>
    <mergeCell ref="I70:R70"/>
    <mergeCell ref="I69:R69"/>
    <mergeCell ref="I60:R60"/>
    <mergeCell ref="I61:R61"/>
    <mergeCell ref="I62:R62"/>
    <mergeCell ref="I64:R64"/>
    <mergeCell ref="I63:R63"/>
    <mergeCell ref="J48:R48"/>
    <mergeCell ref="O49:R49"/>
    <mergeCell ref="O50:R50"/>
    <mergeCell ref="J57:R57"/>
    <mergeCell ref="I58:R58"/>
    <mergeCell ref="N18:V18"/>
    <mergeCell ref="I59:R59"/>
    <mergeCell ref="I1:Q1"/>
    <mergeCell ref="I6:R6"/>
    <mergeCell ref="J8:K8"/>
    <mergeCell ref="I10:Q10"/>
    <mergeCell ref="O24:R24"/>
    <mergeCell ref="J4:Q4"/>
    <mergeCell ref="O46:R46"/>
    <mergeCell ref="I13:K13"/>
  </mergeCells>
  <conditionalFormatting sqref="J75:O75">
    <cfRule type="expression" priority="1" dxfId="0" stopIfTrue="1">
      <formula>$J$75=""</formula>
    </cfRule>
  </conditionalFormatting>
  <dataValidations count="11">
    <dataValidation type="list" allowBlank="1" showInputMessage="1" showErrorMessage="1" errorTitle="INVALID ENTRY" error="You have entered a benefit amount that is not available.  Please select an amount from the drop down box, or see Comments for valid entries." sqref="K20">
      <formula1>"5000,10000,15000,20000"</formula1>
    </dataValidation>
    <dataValidation type="list" allowBlank="1" showInputMessage="1" showErrorMessage="1" errorTitle="INVALID ENTRY" error="You have entered a benefit amount that is not available.  Please select an amount from the drop down box, or see Comments for valid entries." sqref="K19">
      <formula1>"Generic,Generic/Brand"</formula1>
    </dataValidation>
    <dataValidation type="list" allowBlank="1" showInputMessage="1" showErrorMessage="1" sqref="M8">
      <formula1>"2011,2012,2013,2014,2015,2016,2017,2018,2019,2020,2021,2022,2023,2024,2025"</formula1>
    </dataValidation>
    <dataValidation type="list" allowBlank="1" showInputMessage="1" showErrorMessage="1" error="Effective Date MUST be the 1st of a month." sqref="L8">
      <formula1>"1-Jan,,February 1,,March 1,,April 1,,May 1,,June 1,,July 1,,August 1,,September 1,,October 1,,November 1,,December 1,"</formula1>
    </dataValidation>
    <dataValidation type="list" allowBlank="1" showInputMessage="1" showErrorMessage="1" sqref="R12">
      <formula1>"Yes,No"</formula1>
    </dataValidation>
    <dataValidation type="list" allowBlank="1" showInputMessage="1" showErrorMessage="1" errorTitle="INVALID ENTRY" error="You have entered a benefit amount that is not available.  Please select an amount from the drop down box, or see Comments for valid entries." sqref="K18">
      <formula1>"100,200,500"</formula1>
    </dataValidation>
    <dataValidation type="list" allowBlank="1" showInputMessage="1" showErrorMessage="1" errorTitle="INVALID ENTRY" error="You have entered a benefit amount that is not available.  Please select an amount from the drop down box, or see Comments for valid entries." sqref="K17">
      <formula1>"15,20"</formula1>
    </dataValidation>
    <dataValidation type="list" allowBlank="1" showInputMessage="1" showErrorMessage="1" errorTitle="INVALID ENTRY" error="You have entered a benefit amount that is not available.  Please select an amount from the drop down box, or see Comments for valid entries." sqref="K16">
      <formula1>"200,250,500,750,1000,1250,1500,1750,2000,2250,2500"</formula1>
    </dataValidation>
    <dataValidation type="list" allowBlank="1" showInputMessage="1" showErrorMessage="1" errorTitle="INVALID ENTRY" error="You have entered a benefit amount that is not available.  Please select an amount from the drop down box, or see Comments for valid entries." sqref="K15">
      <formula1>"500,1000,1500,2000,2500,3000,3500,4000,4500,5000,6000,6500,7000,7500,8000,10000"</formula1>
    </dataValidation>
    <dataValidation type="list" allowBlank="1" showInputMessage="1" showErrorMessage="1" sqref="Q25">
      <formula1>"Semi-Monthly, Bi-Weekly, Weekly"</formula1>
    </dataValidation>
    <dataValidation type="list" allowBlank="1" showInputMessage="1" showErrorMessage="1" sqref="M9">
      <formula1>HY40:HY80</formula1>
    </dataValidation>
  </dataValidations>
  <printOptions/>
  <pageMargins left="0.51" right="0.25" top="0.34" bottom="0.34" header="0" footer="0.38"/>
  <pageSetup horizontalDpi="600" verticalDpi="600" orientation="portrait" scale="75" r:id="rId4"/>
  <headerFooter differentOddEven="1" alignWithMargins="0">
    <oddFooter>&amp;L&amp;8All States Rater - OPI (v. 2013-09-01)&amp;C
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J243"/>
  <sheetViews>
    <sheetView tabSelected="1" workbookViewId="0" topLeftCell="I1">
      <selection activeCell="M8" sqref="M8"/>
    </sheetView>
  </sheetViews>
  <sheetFormatPr defaultColWidth="10.28125" defaultRowHeight="12.75"/>
  <cols>
    <col min="1" max="2" width="9.140625" style="0" hidden="1" customWidth="1"/>
    <col min="3" max="3" width="10.140625" style="0" hidden="1" customWidth="1"/>
    <col min="4" max="8" width="9.140625" style="0" hidden="1" customWidth="1"/>
    <col min="9" max="9" width="9.140625" style="0" customWidth="1"/>
    <col min="10" max="10" width="20.421875" style="0" customWidth="1"/>
    <col min="11" max="11" width="14.7109375" style="0" customWidth="1"/>
    <col min="12" max="12" width="15.140625" style="0" customWidth="1"/>
    <col min="13" max="13" width="12.7109375" style="0" customWidth="1"/>
    <col min="14" max="14" width="2.28125" style="0" customWidth="1"/>
    <col min="15" max="18" width="12.7109375" style="0" customWidth="1"/>
    <col min="19" max="19" width="1.421875" style="0" customWidth="1"/>
    <col min="20" max="22" width="9.140625" style="0" hidden="1" customWidth="1"/>
    <col min="23" max="23" width="11.140625" style="0" hidden="1" customWidth="1"/>
    <col min="24" max="24" width="10.7109375" style="0" hidden="1" customWidth="1"/>
    <col min="25" max="28" width="9.140625" style="0" hidden="1" customWidth="1"/>
    <col min="29" max="29" width="10.421875" style="0" hidden="1" customWidth="1"/>
    <col min="30" max="30" width="9.140625" style="0" hidden="1" customWidth="1"/>
    <col min="31" max="31" width="11.140625" style="0" hidden="1" customWidth="1"/>
    <col min="32" max="245" width="9.140625" style="0" hidden="1" customWidth="1"/>
    <col min="246" max="246" width="9.140625" style="0" customWidth="1"/>
    <col min="247" max="247" width="10.8515625" style="0" customWidth="1"/>
    <col min="248" max="251" width="9.140625" style="0" customWidth="1"/>
    <col min="252" max="252" width="11.28125" style="0" customWidth="1"/>
  </cols>
  <sheetData>
    <row r="1" spans="9:18" ht="35.25">
      <c r="I1" s="200"/>
      <c r="J1" s="201"/>
      <c r="K1" s="201"/>
      <c r="L1" s="201"/>
      <c r="M1" s="201"/>
      <c r="N1" s="201"/>
      <c r="O1" s="201"/>
      <c r="P1" s="201"/>
      <c r="Q1" s="201"/>
      <c r="R1" s="63"/>
    </row>
    <row r="3" spans="17:18" ht="12.75">
      <c r="Q3" s="23" t="s">
        <v>43</v>
      </c>
      <c r="R3" s="84">
        <f ca="1">TODAY()</f>
        <v>42327</v>
      </c>
    </row>
    <row r="4" spans="10:17" ht="12.75" customHeight="1">
      <c r="J4" s="209" t="str">
        <f>IF($J$75="","DON'T FORGET TO FILL IN THE AGENT'S NAME AT THE BOTTOM OF THE PAGE!","")</f>
        <v>DON'T FORGET TO FILL IN THE AGENT'S NAME AT THE BOTTOM OF THE PAGE!</v>
      </c>
      <c r="K4" s="209"/>
      <c r="L4" s="209"/>
      <c r="M4" s="209"/>
      <c r="N4" s="209"/>
      <c r="O4" s="209"/>
      <c r="P4" s="209"/>
      <c r="Q4" s="209"/>
    </row>
    <row r="5" ht="7.5" customHeight="1"/>
    <row r="6" spans="9:18" ht="20.25">
      <c r="I6" s="202" t="s">
        <v>92</v>
      </c>
      <c r="J6" s="202"/>
      <c r="K6" s="202"/>
      <c r="L6" s="202"/>
      <c r="M6" s="202"/>
      <c r="N6" s="202"/>
      <c r="O6" s="202"/>
      <c r="P6" s="202"/>
      <c r="Q6" s="202"/>
      <c r="R6" s="203"/>
    </row>
    <row r="7" ht="7.5" customHeight="1"/>
    <row r="8" spans="9:15" ht="12.75">
      <c r="I8" s="21"/>
      <c r="J8" s="204" t="s">
        <v>29</v>
      </c>
      <c r="K8" s="204"/>
      <c r="L8" s="156">
        <v>42005</v>
      </c>
      <c r="M8" s="155">
        <v>2016</v>
      </c>
      <c r="N8" s="121"/>
      <c r="O8" s="121"/>
    </row>
    <row r="9" spans="9:19" ht="12.75">
      <c r="I9" s="21"/>
      <c r="J9" s="23"/>
      <c r="K9" s="23" t="s">
        <v>32</v>
      </c>
      <c r="M9" s="189" t="s">
        <v>51</v>
      </c>
      <c r="N9" s="195" t="str">
        <f>IF($O$9=" ","","&gt;&gt;")</f>
        <v>&gt;&gt;</v>
      </c>
      <c r="O9" s="192" t="str">
        <f>VLOOKUP($M$9,HY39:HZ80,2,TRUE)</f>
        <v>(requires state specific enrollment materials)</v>
      </c>
      <c r="P9" s="190"/>
      <c r="Q9" s="190"/>
      <c r="R9" s="54"/>
      <c r="S9" s="83"/>
    </row>
    <row r="10" spans="9:18" ht="12.75">
      <c r="I10" s="205" t="str">
        <f>IF($M$9="NJ","AVAILABLE ONLY TO GROUPS WITH 51+ ELIGIBLE LIVES",IF($M$9="FL","AVAILABLE ONLY TO GROUPS WITH 51+ ELIGIBLE LIVES",IF($M$9="VT","AVAILABLE ONLY TO GROUPS WITH 51+ ELIGIBLE LIVES","AVAILABLE ONLY TO GROUPS WITH 2 OR MORE ENROLLED LIVES")))</f>
        <v>AVAILABLE ONLY TO GROUPS WITH 2 OR MORE ENROLLED LIVES</v>
      </c>
      <c r="J10" s="205"/>
      <c r="K10" s="205"/>
      <c r="L10" s="205"/>
      <c r="M10" s="205"/>
      <c r="N10" s="205"/>
      <c r="O10" s="205"/>
      <c r="P10" s="205"/>
      <c r="Q10" s="205"/>
      <c r="R10" s="19"/>
    </row>
    <row r="11" spans="9:18" ht="7.5" customHeight="1"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9:18" ht="12.75">
      <c r="I12" s="52" t="s">
        <v>127</v>
      </c>
      <c r="L12" s="53"/>
      <c r="M12" s="52" t="s">
        <v>47</v>
      </c>
      <c r="O12" s="21" t="s">
        <v>90</v>
      </c>
      <c r="P12" s="19"/>
      <c r="Q12" s="19"/>
      <c r="R12" s="120" t="s">
        <v>91</v>
      </c>
    </row>
    <row r="13" spans="9:15" ht="12.75" customHeight="1">
      <c r="I13" s="211" t="s">
        <v>128</v>
      </c>
      <c r="J13" s="211"/>
      <c r="K13" s="211"/>
      <c r="L13" s="53"/>
      <c r="M13" s="52" t="s">
        <v>47</v>
      </c>
      <c r="N13" s="18"/>
      <c r="O13" s="18"/>
    </row>
    <row r="14" ht="6" customHeight="1"/>
    <row r="15" spans="11:12" ht="12.75">
      <c r="K15" s="25">
        <v>10000</v>
      </c>
      <c r="L15" s="21" t="s">
        <v>23</v>
      </c>
    </row>
    <row r="16" spans="10:12" ht="12.75">
      <c r="J16" s="37">
        <f>IF($K$16&gt;(K15*0.5),"INVALID ENTRY -- VOID QUOTE","")</f>
      </c>
      <c r="K16" s="25">
        <v>2500</v>
      </c>
      <c r="L16" s="44" t="str">
        <f>IF(K16="","",IF(K16=0,"","Outpatient II Benefit (R-02822)"))</f>
        <v>Outpatient II Benefit (R-02822)</v>
      </c>
    </row>
    <row r="17" spans="10:12" ht="12.75">
      <c r="J17" s="37">
        <f>IF(OR($K$17=15,$K$17=20,$K$17=""),"","INVALID ENTRY -- VOID QUOTE")</f>
      </c>
      <c r="K17" s="25"/>
      <c r="L17" s="44">
        <f>IF(K17="","",IF(K17=0,"","Physician Office Visit Benefit (R-02798)"))</f>
      </c>
    </row>
    <row r="18" spans="10:22" ht="12.75">
      <c r="J18" s="37">
        <f>IF(OR($K$18=100,$K$18=200,$K$18=500,$K$18=""),"","INVALID ENTRY -- VOID QUOTE")</f>
      </c>
      <c r="K18" s="25"/>
      <c r="L18" s="44">
        <f>IF(K18="","",IF(K18=0,"","Wellness Benefit (R-02799)"))</f>
      </c>
      <c r="N18" s="196">
        <f>IF(OR($K$18&lt;=0,$M$9&lt;&gt;"IN (requires state specific enrollment materials)"),"","&lt;&lt;&lt;NOT AVAILABLE IN INDIANA-MUST LEAVE BLANK&gt;&gt;&gt;")</f>
      </c>
      <c r="O18" s="196"/>
      <c r="P18" s="196"/>
      <c r="Q18" s="196"/>
      <c r="R18" s="196"/>
      <c r="S18" s="196"/>
      <c r="T18" s="196"/>
      <c r="U18" s="197"/>
      <c r="V18" s="197"/>
    </row>
    <row r="19" spans="10:12" ht="12.75" hidden="1">
      <c r="J19" s="37">
        <f>IF(OR($M$9="md (requires state specific enrollment materials)",$M$9="nc",$M$9="tn (requires state specific enrollment materials)",$M$9="me (requires state specific enrollment materials)"),"RX RIDER NOT AVAILABLE","")</f>
      </c>
      <c r="K19" s="122"/>
      <c r="L19" s="44">
        <f>IF(K19="","",IF(K19=0,"","Prescription Drug Rider"))</f>
      </c>
    </row>
    <row r="20" spans="10:12" ht="12.75">
      <c r="J20" s="37">
        <f>IF(OR($M$9="md (requires state specific enrollment forms)",$L$9="nc"),"LIFE/AD&amp;D RIDER NOT AVAILABLE","")</f>
      </c>
      <c r="K20" s="25"/>
      <c r="L20" s="44">
        <f>IF(K20="","",IF(K20=0,"","Term Life/AD&amp;D Rider"))</f>
      </c>
    </row>
    <row r="21" spans="10:12" ht="7.5" customHeight="1">
      <c r="J21" s="37"/>
      <c r="K21" s="82"/>
      <c r="L21" s="44"/>
    </row>
    <row r="22" spans="10:12" ht="7.5" customHeight="1">
      <c r="J22" s="37"/>
      <c r="K22" s="48"/>
      <c r="L22" s="44"/>
    </row>
    <row r="23" ht="6" customHeight="1">
      <c r="K23" s="83"/>
    </row>
    <row r="24" spans="11:244" ht="12.75">
      <c r="K24" s="19" t="s">
        <v>21</v>
      </c>
      <c r="L24" s="19" t="s">
        <v>19</v>
      </c>
      <c r="M24" s="19" t="s">
        <v>19</v>
      </c>
      <c r="N24" s="19"/>
      <c r="O24" s="206" t="s">
        <v>49</v>
      </c>
      <c r="P24" s="207"/>
      <c r="Q24" s="207"/>
      <c r="R24" s="208"/>
      <c r="U24" s="97" t="s">
        <v>80</v>
      </c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G24" s="85"/>
      <c r="AH24" s="85"/>
      <c r="AI24" s="85"/>
      <c r="AJ24" s="85"/>
      <c r="AK24" s="28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1"/>
      <c r="BX24" s="97" t="s">
        <v>118</v>
      </c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J24" s="85"/>
      <c r="CK24" s="85"/>
      <c r="CL24" s="85"/>
      <c r="CM24" s="85"/>
      <c r="CN24" s="28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1"/>
      <c r="EB24" s="97" t="s">
        <v>81</v>
      </c>
      <c r="EC24" s="85"/>
      <c r="ED24" s="85"/>
      <c r="EE24" s="85"/>
      <c r="EF24" s="85"/>
      <c r="EG24" s="85"/>
      <c r="EH24" s="85"/>
      <c r="EI24" s="85"/>
      <c r="EJ24" s="85"/>
      <c r="EK24" s="85"/>
      <c r="EL24" s="85"/>
      <c r="EN24" s="85"/>
      <c r="EO24" s="85"/>
      <c r="EP24" s="85"/>
      <c r="EQ24" s="85"/>
      <c r="ER24" s="28"/>
      <c r="EU24" s="85"/>
      <c r="EV24" s="85"/>
      <c r="EW24" s="85"/>
      <c r="EX24" s="85"/>
      <c r="EY24" s="85"/>
      <c r="EZ24" s="85"/>
      <c r="FA24" s="85"/>
      <c r="FB24" s="85"/>
      <c r="FC24" s="85"/>
      <c r="FD24" s="85"/>
      <c r="FE24" s="85"/>
      <c r="FF24" s="85"/>
      <c r="FG24" s="85"/>
      <c r="FH24" s="85"/>
      <c r="FI24" s="85"/>
      <c r="FJ24" s="85"/>
      <c r="FK24" s="85"/>
      <c r="FL24" s="85"/>
      <c r="FM24" s="85"/>
      <c r="FN24" s="85"/>
      <c r="FO24" s="85"/>
      <c r="FP24" s="85"/>
      <c r="FQ24" s="85"/>
      <c r="FR24" s="85"/>
      <c r="FS24" s="85"/>
      <c r="FT24" s="85"/>
      <c r="FU24" s="85"/>
      <c r="FV24" s="85"/>
      <c r="FW24" s="85"/>
      <c r="FX24" s="85"/>
      <c r="FY24" s="85"/>
      <c r="FZ24" s="85"/>
      <c r="GA24" s="85"/>
      <c r="GB24" s="85"/>
      <c r="GC24" s="85"/>
      <c r="GD24" s="85"/>
      <c r="GE24" s="81"/>
      <c r="GG24" s="97" t="s">
        <v>82</v>
      </c>
      <c r="GH24" s="85"/>
      <c r="GI24" s="85"/>
      <c r="GJ24" s="85"/>
      <c r="GK24" s="85"/>
      <c r="GL24" s="85"/>
      <c r="GM24" s="85"/>
      <c r="GN24" s="85"/>
      <c r="GO24" s="85"/>
      <c r="GP24" s="85"/>
      <c r="GQ24" s="85"/>
      <c r="GS24" s="85"/>
      <c r="GT24" s="85"/>
      <c r="GU24" s="85"/>
      <c r="GV24" s="85"/>
      <c r="GW24" s="28"/>
      <c r="GZ24" s="85"/>
      <c r="HA24" s="85"/>
      <c r="HB24" s="85"/>
      <c r="HC24" s="85"/>
      <c r="HD24" s="85"/>
      <c r="HE24" s="85"/>
      <c r="HF24" s="85"/>
      <c r="HG24" s="85"/>
      <c r="HH24" s="85"/>
      <c r="HI24" s="85"/>
      <c r="HJ24" s="85"/>
      <c r="HK24" s="85"/>
      <c r="HL24" s="85"/>
      <c r="HM24" s="85"/>
      <c r="HN24" s="85"/>
      <c r="HO24" s="85"/>
      <c r="HP24" s="85"/>
      <c r="HQ24" s="85"/>
      <c r="HR24" s="85"/>
      <c r="HS24" s="85"/>
      <c r="HT24" s="85"/>
      <c r="HU24" s="85"/>
      <c r="HV24" s="85"/>
      <c r="HW24" s="85"/>
      <c r="HX24" s="85"/>
      <c r="HY24" s="85"/>
      <c r="HZ24" s="85"/>
      <c r="IA24" s="85"/>
      <c r="IB24" s="85"/>
      <c r="IC24" s="85"/>
      <c r="ID24" s="85"/>
      <c r="IE24" s="85"/>
      <c r="IF24" s="85"/>
      <c r="IG24" s="85"/>
      <c r="IH24" s="85"/>
      <c r="II24" s="85"/>
      <c r="IJ24" s="81"/>
    </row>
    <row r="25" spans="11:244" ht="12.75">
      <c r="K25" s="22" t="s">
        <v>22</v>
      </c>
      <c r="L25" s="22" t="s">
        <v>20</v>
      </c>
      <c r="M25" s="22" t="s">
        <v>28</v>
      </c>
      <c r="N25" s="22"/>
      <c r="O25" s="70"/>
      <c r="P25" s="187" t="s">
        <v>124</v>
      </c>
      <c r="Q25" s="188" t="s">
        <v>48</v>
      </c>
      <c r="R25" s="71"/>
      <c r="U25" s="27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G25" s="28"/>
      <c r="AH25" s="28"/>
      <c r="AI25" s="28"/>
      <c r="AJ25" s="28"/>
      <c r="AK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31"/>
      <c r="BX25" s="27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J25" s="28"/>
      <c r="CK25" s="28"/>
      <c r="CL25" s="28"/>
      <c r="CM25" s="28"/>
      <c r="CN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31"/>
      <c r="EB25" s="27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N25" s="28"/>
      <c r="EO25" s="28"/>
      <c r="EP25" s="28"/>
      <c r="EQ25" s="28"/>
      <c r="ER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31"/>
      <c r="GG25" s="27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S25" s="28"/>
      <c r="GT25" s="28"/>
      <c r="GU25" s="28"/>
      <c r="GV25" s="28"/>
      <c r="GW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  <c r="HZ25" s="28"/>
      <c r="IA25" s="28"/>
      <c r="IB25" s="28"/>
      <c r="IC25" s="28"/>
      <c r="ID25" s="28"/>
      <c r="IE25" s="28"/>
      <c r="IF25" s="28"/>
      <c r="IG25" s="28"/>
      <c r="IH25" s="28"/>
      <c r="II25" s="28"/>
      <c r="IJ25" s="31"/>
    </row>
    <row r="26" spans="3:244" ht="12.75">
      <c r="C26" t="s">
        <v>16</v>
      </c>
      <c r="D26" t="s">
        <v>17</v>
      </c>
      <c r="E26" t="s">
        <v>8</v>
      </c>
      <c r="F26" t="s">
        <v>18</v>
      </c>
      <c r="G26" s="17" t="s">
        <v>40</v>
      </c>
      <c r="H26" s="17" t="s">
        <v>41</v>
      </c>
      <c r="I26" s="17"/>
      <c r="O26" s="72"/>
      <c r="P26" s="187" t="s">
        <v>126</v>
      </c>
      <c r="Q26" s="73">
        <f>IF($Q$25="Bi-weekly",26,IF($Q$25="Weekly",52,24))</f>
        <v>24</v>
      </c>
      <c r="R26" s="74"/>
      <c r="U26" s="27"/>
      <c r="V26" s="28"/>
      <c r="W26" s="28"/>
      <c r="X26" s="86" t="s">
        <v>34</v>
      </c>
      <c r="Y26" s="28"/>
      <c r="Z26" s="28"/>
      <c r="AA26" s="28"/>
      <c r="AB26" s="28"/>
      <c r="AC26" s="28"/>
      <c r="AD26" s="28"/>
      <c r="AE26" s="28"/>
      <c r="AG26" s="28"/>
      <c r="AH26" s="28"/>
      <c r="AI26" s="28"/>
      <c r="AJ26" s="28"/>
      <c r="AK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182" t="str">
        <f>Q25</f>
        <v>Semi-Monthly</v>
      </c>
      <c r="BS26" s="49"/>
      <c r="BT26" s="29"/>
      <c r="BU26" s="28"/>
      <c r="BV26" s="31"/>
      <c r="BX26" s="27"/>
      <c r="BY26" s="28"/>
      <c r="BZ26" s="28"/>
      <c r="CA26" s="86" t="s">
        <v>34</v>
      </c>
      <c r="CB26" s="28"/>
      <c r="CC26" s="28"/>
      <c r="CD26" s="28"/>
      <c r="CE26" s="28"/>
      <c r="CF26" s="28"/>
      <c r="CG26" s="28"/>
      <c r="CH26" s="28"/>
      <c r="CJ26" s="28"/>
      <c r="CK26" s="28"/>
      <c r="CL26" s="28"/>
      <c r="CM26" s="28"/>
      <c r="CN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49" t="s">
        <v>48</v>
      </c>
      <c r="DW26" s="49" t="s">
        <v>45</v>
      </c>
      <c r="DX26" s="29" t="s">
        <v>46</v>
      </c>
      <c r="DY26" s="28"/>
      <c r="DZ26" s="31"/>
      <c r="EB26" s="27"/>
      <c r="EC26" s="28"/>
      <c r="ED26" s="28"/>
      <c r="EE26" s="86" t="s">
        <v>34</v>
      </c>
      <c r="EF26" s="28"/>
      <c r="EG26" s="28"/>
      <c r="EH26" s="28"/>
      <c r="EI26" s="28"/>
      <c r="EJ26" s="28"/>
      <c r="EK26" s="28"/>
      <c r="EL26" s="28"/>
      <c r="EN26" s="28"/>
      <c r="EO26" s="28"/>
      <c r="EP26" s="28"/>
      <c r="EQ26" s="28"/>
      <c r="ER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49" t="s">
        <v>48</v>
      </c>
      <c r="GB26" s="49" t="s">
        <v>45</v>
      </c>
      <c r="GC26" s="29" t="s">
        <v>46</v>
      </c>
      <c r="GD26" s="28"/>
      <c r="GE26" s="31"/>
      <c r="GG26" s="27"/>
      <c r="GH26" s="28"/>
      <c r="GI26" s="28"/>
      <c r="GJ26" s="86" t="s">
        <v>34</v>
      </c>
      <c r="GK26" s="28"/>
      <c r="GL26" s="28"/>
      <c r="GM26" s="28"/>
      <c r="GN26" s="28"/>
      <c r="GO26" s="28"/>
      <c r="GP26" s="28"/>
      <c r="GQ26" s="28"/>
      <c r="GS26" s="28"/>
      <c r="GT26" s="28"/>
      <c r="GU26" s="28"/>
      <c r="GV26" s="28"/>
      <c r="GW26" s="28"/>
      <c r="GZ26" s="28"/>
      <c r="HA26" s="28"/>
      <c r="HB26" s="28"/>
      <c r="HC26" s="28"/>
      <c r="HD26" s="28"/>
      <c r="HE26" s="28"/>
      <c r="HF26" s="28"/>
      <c r="HG26" s="28"/>
      <c r="HH26" s="28"/>
      <c r="HI26" s="28"/>
      <c r="HJ26" s="28"/>
      <c r="HK26" s="28"/>
      <c r="HL26" s="28"/>
      <c r="HM26" s="28"/>
      <c r="HN26" s="28"/>
      <c r="HO26" s="28"/>
      <c r="HP26" s="28"/>
      <c r="HQ26" s="28"/>
      <c r="HR26" s="28"/>
      <c r="HS26" s="28"/>
      <c r="HT26" s="28"/>
      <c r="HU26" s="28"/>
      <c r="HV26" s="28"/>
      <c r="HW26" s="28"/>
      <c r="HX26" s="28"/>
      <c r="HY26" s="28"/>
      <c r="HZ26" s="28"/>
      <c r="IA26" s="28"/>
      <c r="IB26" s="28"/>
      <c r="IC26" s="28"/>
      <c r="ID26" s="28"/>
      <c r="IE26" s="28"/>
      <c r="IF26" s="49" t="s">
        <v>48</v>
      </c>
      <c r="IG26" s="49" t="s">
        <v>45</v>
      </c>
      <c r="IH26" s="29" t="s">
        <v>46</v>
      </c>
      <c r="II26" s="28"/>
      <c r="IJ26" s="31"/>
    </row>
    <row r="27" spans="1:244" ht="12.75">
      <c r="A27" t="s">
        <v>9</v>
      </c>
      <c r="I27" s="16" t="s">
        <v>24</v>
      </c>
      <c r="O27" s="75"/>
      <c r="P27" s="68"/>
      <c r="Q27" s="68"/>
      <c r="R27" s="69"/>
      <c r="U27" s="27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G27" s="28"/>
      <c r="AH27" s="28"/>
      <c r="AI27" s="28"/>
      <c r="AJ27" s="28"/>
      <c r="AK27" s="28"/>
      <c r="AN27" s="28"/>
      <c r="AO27" s="86" t="s">
        <v>44</v>
      </c>
      <c r="AP27" s="86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86" t="s">
        <v>35</v>
      </c>
      <c r="BD27" s="28"/>
      <c r="BE27" s="28"/>
      <c r="BF27" s="86" t="s">
        <v>36</v>
      </c>
      <c r="BG27" s="28"/>
      <c r="BH27" s="28"/>
      <c r="BI27" s="28"/>
      <c r="BJ27" s="86" t="s">
        <v>37</v>
      </c>
      <c r="BK27" s="28"/>
      <c r="BL27" s="87"/>
      <c r="BM27" s="86" t="s">
        <v>38</v>
      </c>
      <c r="BN27" s="28"/>
      <c r="BO27" s="28"/>
      <c r="BP27" s="28"/>
      <c r="BQ27" s="28"/>
      <c r="BR27" s="184">
        <f>Q26</f>
        <v>24</v>
      </c>
      <c r="BS27" s="55"/>
      <c r="BT27" s="36"/>
      <c r="BU27" s="28"/>
      <c r="BV27" s="31"/>
      <c r="BX27" s="27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J27" s="28"/>
      <c r="CK27" s="28"/>
      <c r="CL27" s="28"/>
      <c r="CM27" s="28"/>
      <c r="CN27" s="28"/>
      <c r="CQ27" s="28"/>
      <c r="CR27" s="86" t="s">
        <v>44</v>
      </c>
      <c r="CS27" s="86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86" t="s">
        <v>35</v>
      </c>
      <c r="DG27" s="28"/>
      <c r="DH27" s="28"/>
      <c r="DI27" s="86" t="s">
        <v>36</v>
      </c>
      <c r="DJ27" s="28"/>
      <c r="DK27" s="28"/>
      <c r="DL27" s="28"/>
      <c r="DM27" s="86" t="s">
        <v>37</v>
      </c>
      <c r="DN27" s="28"/>
      <c r="DO27" s="87"/>
      <c r="DP27" s="86" t="s">
        <v>38</v>
      </c>
      <c r="DQ27" s="28"/>
      <c r="DR27" s="28"/>
      <c r="DS27" s="28"/>
      <c r="DT27" s="28"/>
      <c r="DU27" s="28">
        <v>12</v>
      </c>
      <c r="DV27" s="55">
        <v>24</v>
      </c>
      <c r="DW27" s="55">
        <v>26</v>
      </c>
      <c r="DX27" s="36">
        <v>52</v>
      </c>
      <c r="DY27" s="28"/>
      <c r="DZ27" s="31"/>
      <c r="EB27" s="27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N27" s="28"/>
      <c r="EO27" s="28"/>
      <c r="EP27" s="28"/>
      <c r="EQ27" s="28"/>
      <c r="ER27" s="28"/>
      <c r="EU27" s="28"/>
      <c r="EV27" s="86" t="s">
        <v>44</v>
      </c>
      <c r="EW27" s="86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86" t="s">
        <v>35</v>
      </c>
      <c r="FK27" s="28"/>
      <c r="FL27" s="28"/>
      <c r="FM27" s="86" t="s">
        <v>36</v>
      </c>
      <c r="FN27" s="28"/>
      <c r="FO27" s="28"/>
      <c r="FP27" s="28"/>
      <c r="FQ27" s="86" t="s">
        <v>37</v>
      </c>
      <c r="FR27" s="28"/>
      <c r="FS27" s="87"/>
      <c r="FT27" s="86" t="s">
        <v>38</v>
      </c>
      <c r="FU27" s="28"/>
      <c r="FV27" s="28"/>
      <c r="FW27" s="28"/>
      <c r="FX27" s="28"/>
      <c r="FY27" s="28"/>
      <c r="FZ27" s="28">
        <v>12</v>
      </c>
      <c r="GA27" s="55">
        <v>24</v>
      </c>
      <c r="GB27" s="55">
        <v>26</v>
      </c>
      <c r="GC27" s="36">
        <v>52</v>
      </c>
      <c r="GD27" s="28"/>
      <c r="GE27" s="31"/>
      <c r="GG27" s="27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S27" s="28"/>
      <c r="GT27" s="28"/>
      <c r="GU27" s="28"/>
      <c r="GV27" s="28"/>
      <c r="GW27" s="28"/>
      <c r="GZ27" s="28"/>
      <c r="HA27" s="86" t="s">
        <v>44</v>
      </c>
      <c r="HB27" s="86"/>
      <c r="HC27" s="28"/>
      <c r="HD27" s="28"/>
      <c r="HE27" s="28"/>
      <c r="HF27" s="28"/>
      <c r="HG27" s="28"/>
      <c r="HH27" s="28"/>
      <c r="HI27" s="28"/>
      <c r="HJ27" s="28"/>
      <c r="HK27" s="28"/>
      <c r="HL27" s="28"/>
      <c r="HM27" s="28"/>
      <c r="HN27" s="28"/>
      <c r="HO27" s="86" t="s">
        <v>35</v>
      </c>
      <c r="HP27" s="28"/>
      <c r="HQ27" s="28"/>
      <c r="HR27" s="86" t="s">
        <v>36</v>
      </c>
      <c r="HS27" s="28"/>
      <c r="HT27" s="28"/>
      <c r="HU27" s="28"/>
      <c r="HV27" s="86" t="s">
        <v>37</v>
      </c>
      <c r="HW27" s="28"/>
      <c r="HX27" s="87"/>
      <c r="HY27" s="86" t="s">
        <v>38</v>
      </c>
      <c r="HZ27" s="28"/>
      <c r="IA27" s="28"/>
      <c r="IB27" s="28"/>
      <c r="IC27" s="28"/>
      <c r="ID27" s="28"/>
      <c r="IE27" s="28">
        <v>12</v>
      </c>
      <c r="IF27" s="55">
        <v>24</v>
      </c>
      <c r="IG27" s="55">
        <v>26</v>
      </c>
      <c r="IH27" s="36">
        <v>52</v>
      </c>
      <c r="II27" s="28"/>
      <c r="IJ27" s="31"/>
    </row>
    <row r="28" spans="1:244" ht="12.75">
      <c r="A28" t="s">
        <v>10</v>
      </c>
      <c r="C28" s="98">
        <f>IF($M$9="FL",HLOOKUP($K$15,$X$31:$AM$35,2,TRUE),IF($M$9="CO",HLOOKUP($K$15,$CA$31:$CP$35,2,TRUE),IF($M$9="IN",HLOOKUP($K$15,$CA$31:$CP$35,2,TRUE),IF($M$9="TX",HLOOKUP($K$15,$EE$31:$ET$35,2,TRUE),HLOOKUP($K$15,$GJ$31:$GY$35,2,TRUE)))))</f>
        <v>49.5</v>
      </c>
      <c r="D28" s="98">
        <f>IF($K$16="",0,IF($M$9="FL",HLOOKUP($K$16,$AO$31:$AZ$35,2,TRUE),IF($M$9="CO",HLOOKUP($K$16,$CR$31:$DC$35,2,TRUE),IF($M$9="IN",HLOOKUP($K$16,$CR$31:$DC$35,2,TRUE),IF($M$9="TX",HLOOKUP($K$16,$EV$31:$FG$35,2,TRUE),HLOOKUP($K$16,$HA$31:$HL$35,2,TRUE))))))</f>
        <v>21.98</v>
      </c>
      <c r="E28" s="98">
        <f>IF($K$17="",0,IF($M$9="FL",HLOOKUP($K$17,$BC$31:$BD$35,2,TRUE),IF($M$9="CO",HLOOKUP($K$17,$DF$31:$DG$35,2,TRUE),IF($M$9="IN",HLOOKUP($K$17,$DF$31:$DG$35,2,TRUE),IF($M$9="TX",HLOOKUP($K$17,$FJ$31:$FK$35,2,TRUE),HLOOKUP($K$17,$HO$31:$HP$35,2,TRUE))))))</f>
        <v>0</v>
      </c>
      <c r="F28" s="98">
        <f>IF($K$18="",0,IF($M$9="FL",HLOOKUP($K$18,$BF$31:$BH$35,2,TRUE),IF($M$9="CO",HLOOKUP($K$18,$DI$31:$DK$35,2,TRUE),IF($M$9="IN",HLOOKUP($K$18,$DI$66:$DK$70,2,TRUE),IF($M$9="TX",HLOOKUP($K$18,$FM$31:$FO$35,2,TRUE),HLOOKUP($K$18,$HR$31:$HT$35,2,TRUE))))))</f>
        <v>0</v>
      </c>
      <c r="G28" s="98">
        <f>IF($K$19="",0,IF($M$9="FL",HLOOKUP($K$19,$BJ$31:$BK$35,2,TRUE),IF($M$9="CO",HLOOKUP($K$19,$DM$31:$DN$35,2,TRUE),IF($M$9="IN",HLOOKUP($K$19,$DM$31:$DN$35,2,TRUE),IF($M$9="TX",HLOOKUP($K$19,$FQ$31:$FR$35,2,TRUE),HLOOKUP($K$19,$HV$31:$HW$35,2,TRUE))))))</f>
        <v>0</v>
      </c>
      <c r="H28" s="98">
        <f>IF($K$20="",0,IF($M$9="FL",HLOOKUP($K$20,$BM$31:$BP$35,2,TRUE),IF($M$9="CO",HLOOKUP($K$20,$DP$31:$DS$35,2,TRUE),IF($M$9="IN",HLOOKUP($K$20,$DP$31:$DS$35,2,TRUE),IF($M$9="TX",HLOOKUP($K$20,$FT$31:$FW$35,2,TRUE),HLOOKUP($K$20,$HY$31:$IB$35,2,TRUE))))))</f>
        <v>0</v>
      </c>
      <c r="J28" t="s">
        <v>25</v>
      </c>
      <c r="K28" s="24"/>
      <c r="L28" s="38">
        <f>IF(AND($K$16&lt;=($K$15*0.5),AND($K$16&lt;=2500),OR($K$17=15,$K$17=20,$K$17=""),OR($K$18=100,$K$18=200,$K$18=500,$K$18=""),OR($K$21="GENERIC",$K$21="GENERIC/BRAND",$K$21=""),OR($K$22=5000,$K$22=10000,$K$22=15000,$K$22=20000,$K$22=""),OR($K$46&lt;5000)),(C28+D28+E28+F28+G28+H28),"ERROR")</f>
        <v>71.48</v>
      </c>
      <c r="M28" s="38">
        <f>SUM(L28*K28)</f>
        <v>0</v>
      </c>
      <c r="N28" s="38"/>
      <c r="O28" s="76"/>
      <c r="P28" s="77"/>
      <c r="Q28" s="77">
        <f>(BR29*((100-$L$12)/100))</f>
        <v>35.74</v>
      </c>
      <c r="R28" s="58"/>
      <c r="U28" s="88"/>
      <c r="V28" s="89"/>
      <c r="W28" s="89"/>
      <c r="X28" s="90" t="s">
        <v>4</v>
      </c>
      <c r="Y28" s="91"/>
      <c r="Z28" s="91"/>
      <c r="AA28" s="91"/>
      <c r="AB28" s="91"/>
      <c r="AC28" s="91"/>
      <c r="AD28" s="91"/>
      <c r="AE28" s="91"/>
      <c r="AG28" s="91"/>
      <c r="AH28" s="91"/>
      <c r="AI28" s="91"/>
      <c r="AJ28" s="91"/>
      <c r="AK28" s="91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183"/>
      <c r="BS28" s="50"/>
      <c r="BT28" s="28"/>
      <c r="BU28" s="28"/>
      <c r="BV28" s="31"/>
      <c r="BX28" s="88"/>
      <c r="BY28" s="89"/>
      <c r="BZ28" s="89"/>
      <c r="CA28" s="90" t="s">
        <v>4</v>
      </c>
      <c r="CB28" s="91"/>
      <c r="CC28" s="91"/>
      <c r="CD28" s="91"/>
      <c r="CE28" s="91"/>
      <c r="CF28" s="91"/>
      <c r="CG28" s="91"/>
      <c r="CH28" s="91"/>
      <c r="CJ28" s="91"/>
      <c r="CK28" s="91"/>
      <c r="CL28" s="91"/>
      <c r="CM28" s="91"/>
      <c r="CN28" s="91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50"/>
      <c r="DW28" s="50"/>
      <c r="DX28" s="28"/>
      <c r="DY28" s="28"/>
      <c r="DZ28" s="31"/>
      <c r="EB28" s="88"/>
      <c r="EC28" s="89"/>
      <c r="ED28" s="89"/>
      <c r="EE28" s="90" t="s">
        <v>4</v>
      </c>
      <c r="EF28" s="91"/>
      <c r="EG28" s="91"/>
      <c r="EH28" s="91"/>
      <c r="EI28" s="91"/>
      <c r="EJ28" s="91"/>
      <c r="EK28" s="91"/>
      <c r="EL28" s="91"/>
      <c r="EN28" s="91"/>
      <c r="EO28" s="91"/>
      <c r="EP28" s="91"/>
      <c r="EQ28" s="91"/>
      <c r="ER28" s="91"/>
      <c r="EU28" s="89"/>
      <c r="EV28" s="89"/>
      <c r="EW28" s="89"/>
      <c r="EX28" s="89"/>
      <c r="EY28" s="89"/>
      <c r="EZ28" s="89"/>
      <c r="FA28" s="89"/>
      <c r="FB28" s="89"/>
      <c r="FC28" s="89"/>
      <c r="FD28" s="89"/>
      <c r="FE28" s="89"/>
      <c r="FF28" s="89"/>
      <c r="FG28" s="89"/>
      <c r="FH28" s="89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50"/>
      <c r="GB28" s="50"/>
      <c r="GC28" s="28"/>
      <c r="GD28" s="28"/>
      <c r="GE28" s="31"/>
      <c r="GG28" s="88"/>
      <c r="GH28" s="89"/>
      <c r="GI28" s="89"/>
      <c r="GJ28" s="90" t="s">
        <v>4</v>
      </c>
      <c r="GK28" s="91"/>
      <c r="GL28" s="91"/>
      <c r="GM28" s="91"/>
      <c r="GN28" s="91"/>
      <c r="GO28" s="91"/>
      <c r="GP28" s="91"/>
      <c r="GQ28" s="91"/>
      <c r="GS28" s="91"/>
      <c r="GT28" s="91"/>
      <c r="GU28" s="91"/>
      <c r="GV28" s="91"/>
      <c r="GW28" s="91"/>
      <c r="GZ28" s="89"/>
      <c r="HA28" s="89"/>
      <c r="HB28" s="89"/>
      <c r="HC28" s="89"/>
      <c r="HD28" s="89"/>
      <c r="HE28" s="89"/>
      <c r="HF28" s="89"/>
      <c r="HG28" s="89"/>
      <c r="HH28" s="89"/>
      <c r="HI28" s="89"/>
      <c r="HJ28" s="89"/>
      <c r="HK28" s="89"/>
      <c r="HL28" s="89"/>
      <c r="HM28" s="89"/>
      <c r="HN28" s="28"/>
      <c r="HO28" s="28"/>
      <c r="HP28" s="28"/>
      <c r="HQ28" s="28"/>
      <c r="HR28" s="28"/>
      <c r="HS28" s="28"/>
      <c r="HT28" s="28"/>
      <c r="HU28" s="28"/>
      <c r="HV28" s="28"/>
      <c r="HW28" s="28"/>
      <c r="HX28" s="28"/>
      <c r="HY28" s="28"/>
      <c r="HZ28" s="28"/>
      <c r="IA28" s="28"/>
      <c r="IB28" s="28"/>
      <c r="IC28" s="28"/>
      <c r="ID28" s="28"/>
      <c r="IE28" s="28"/>
      <c r="IF28" s="50"/>
      <c r="IG28" s="50"/>
      <c r="IH28" s="28"/>
      <c r="II28" s="28"/>
      <c r="IJ28" s="31"/>
    </row>
    <row r="29" spans="1:244" ht="12.75">
      <c r="A29" t="s">
        <v>11</v>
      </c>
      <c r="C29" s="98">
        <f>IF($M$9="FL",HLOOKUP($K$15,$X$31:$AM$35,3,TRUE),IF($M$9="CO",HLOOKUP($K$15,$CA$31:$CP$35,3,TRUE),IF($M$9="IN",HLOOKUP($K$15,$CA$31:$CP$35,3,TRUE),IF($M$9="TX",HLOOKUP($K$15,$EE$31:$ET$35,3,TRUE),HLOOKUP($K$15,$GJ$31:$GY$35,3,TRUE)))))</f>
        <v>89.09</v>
      </c>
      <c r="D29" s="98">
        <f>IF($K$16="",0,IF($M$9="FL",HLOOKUP($K$16,$AO$31:$AZ$35,3,TRUE),IF($M$9="CO",HLOOKUP($K$16,$CR$31:$DC$35,3,TRUE),IF($M$9="IN",HLOOKUP($K$16,$CR$31:$DC$35,3,TRUE),IF($M$9="TX",HLOOKUP($K$16,$EV$31:$FG$35,3,TRUE),HLOOKUP($K$16,$HA$31:$HL$35,3,TRUE))))))</f>
        <v>39.58</v>
      </c>
      <c r="E29" s="98">
        <f>IF($K$17="",0,IF($M$9="FL",HLOOKUP($K$17,$BC$31:$BD$35,3,TRUE),IF($M$9="CO",HLOOKUP($K$17,$DF$31:$DG$35,3,TRUE),IF($M$9="IN",HLOOKUP($K$17,$DF$31:$DG$35,3,TRUE),IF($M$9="TX",HLOOKUP($K$17,$FJ$31:$FK$35,3,TRUE),HLOOKUP($K$17,$HO$31:$HP$35,3,TRUE))))))</f>
        <v>0</v>
      </c>
      <c r="F29" s="98">
        <f>IF($K$18="",0,IF($M$9="FL",HLOOKUP($K$18,$BF$31:$BH$35,3,TRUE),IF($M$9="CO",HLOOKUP($K$18,$DI$31:$DK$35,3,TRUE),IF($M$9="IN",HLOOKUP($K$18,$DI$66:$DK$70,3,TRUE),IF($M$9="TX",HLOOKUP($K$18,$FM$31:$FO$35,3,TRUE),HLOOKUP($K$18,$HR$31:$HT$35,3,TRUE))))))</f>
        <v>0</v>
      </c>
      <c r="G29" s="98">
        <f>IF($K$19="",0,IF($M$9="FL",HLOOKUP($K$19,$BJ$31:$BK$35,3,TRUE),IF($M$9="CO",HLOOKUP($K$19,$DM$31:$DN$35,3,TRUE),IF($M$9="IN",HLOOKUP($K$19,$DM$31:$DN$35,3,TRUE),IF($M$9="TX",HLOOKUP($K$19,$FQ$31:$FR$35,3,TRUE),HLOOKUP($K$19,$HV$31:$HW$35,3,TRUE))))))</f>
        <v>0</v>
      </c>
      <c r="H29" s="98">
        <f>IF($K$20="",0,IF($M$9="FL",HLOOKUP($K$20,$BM$31:$BP$35,3,TRUE),IF($M$9="CO",HLOOKUP($K$20,$DP$31:$DS$35,3,TRUE),IF($M$9="IN",HLOOKUP($K$20,$DP$31:$DS$35,3,TRUE),IF($M$9="TX",HLOOKUP($K$20,$FT$31:$FW$35,3,TRUE),HLOOKUP($K$20,$HY$31:$IB$35,3,TRUE))))))</f>
        <v>0</v>
      </c>
      <c r="J29" t="s">
        <v>53</v>
      </c>
      <c r="K29" s="24"/>
      <c r="L29" s="38">
        <f>IF(AND($K$16&lt;=($K$15*0.5),AND($K$16&lt;=2500),OR($K$17=15,$K$17=20,$K$17=""),OR($K$18=100,$K$18=200,$K$18=500,$K$18=""),OR($K$21="GENERIC",$K$21="GENERIC/BRAND",$K$21=""),OR($K$22=5000,$K$22=10000,$K$22=15000,$K$22=20000,$K$22=""),OR($K$46&lt;5000)),(C29+D29+E29+F29+G29+H29),"ERROR")</f>
        <v>128.67000000000002</v>
      </c>
      <c r="M29" s="38">
        <f>SUM(L29*K29)</f>
        <v>0</v>
      </c>
      <c r="N29" s="38"/>
      <c r="O29" s="76"/>
      <c r="P29" s="77"/>
      <c r="Q29" s="77">
        <f>IF($L$13&gt;0,(($BR$29*((100-$L$12)/100))+((BR30-$BR$29)*((100-$L$13)/100))),(($BR$29*((100-$L$12)/100))+((BR30-$BR$29))))</f>
        <v>64.33500000000001</v>
      </c>
      <c r="R29" s="58"/>
      <c r="U29" s="88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G29" s="89"/>
      <c r="AH29" s="89"/>
      <c r="AI29" s="89"/>
      <c r="AJ29" s="89"/>
      <c r="AK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92"/>
      <c r="BR29" s="186">
        <f>((L28*12)/$Q$26)</f>
        <v>35.74</v>
      </c>
      <c r="BS29" s="42"/>
      <c r="BT29" s="77"/>
      <c r="BU29" s="28"/>
      <c r="BV29" s="31"/>
      <c r="BX29" s="88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J29" s="89"/>
      <c r="CK29" s="89"/>
      <c r="CL29" s="89"/>
      <c r="CM29" s="89"/>
      <c r="CN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92" t="e">
        <f>#REF!</f>
        <v>#REF!</v>
      </c>
      <c r="DV29" s="42" t="e">
        <f>((#REF!*$BQ$27)/$BR$27)</f>
        <v>#REF!</v>
      </c>
      <c r="DW29" s="42" t="e">
        <f>((#REF!*$BQ$27)/$BS$27)</f>
        <v>#REF!</v>
      </c>
      <c r="DX29" s="77" t="e">
        <f>((#REF!*$BQ$27)/$BT$27)</f>
        <v>#REF!</v>
      </c>
      <c r="DY29" s="28"/>
      <c r="DZ29" s="31"/>
      <c r="EB29" s="88"/>
      <c r="EC29" s="89"/>
      <c r="ED29" s="89"/>
      <c r="EE29" s="89"/>
      <c r="EF29" s="89"/>
      <c r="EG29" s="89"/>
      <c r="EH29" s="89"/>
      <c r="EI29" s="89"/>
      <c r="EJ29" s="89"/>
      <c r="EK29" s="89"/>
      <c r="EL29" s="89"/>
      <c r="EN29" s="89"/>
      <c r="EO29" s="89"/>
      <c r="EP29" s="89"/>
      <c r="EQ29" s="89"/>
      <c r="ER29" s="89"/>
      <c r="EU29" s="89"/>
      <c r="EV29" s="89"/>
      <c r="EW29" s="89"/>
      <c r="EX29" s="89"/>
      <c r="EY29" s="89"/>
      <c r="EZ29" s="89"/>
      <c r="FA29" s="89"/>
      <c r="FB29" s="89"/>
      <c r="FC29" s="89"/>
      <c r="FD29" s="89"/>
      <c r="FE29" s="89"/>
      <c r="FF29" s="89"/>
      <c r="FG29" s="89"/>
      <c r="FH29" s="89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92">
        <f>DT28</f>
        <v>0</v>
      </c>
      <c r="GA29" s="42">
        <f>((DT28*$BQ$27)/$BR$27)</f>
        <v>0</v>
      </c>
      <c r="GB29" s="42" t="e">
        <f>((DT28*$BQ$27)/$BS$27)</f>
        <v>#DIV/0!</v>
      </c>
      <c r="GC29" s="77" t="e">
        <f>((DT28*$BQ$27)/$BT$27)</f>
        <v>#DIV/0!</v>
      </c>
      <c r="GD29" s="28"/>
      <c r="GE29" s="31"/>
      <c r="GG29" s="88"/>
      <c r="GH29" s="89"/>
      <c r="GI29" s="89"/>
      <c r="GJ29" s="89"/>
      <c r="GK29" s="89"/>
      <c r="GL29" s="89"/>
      <c r="GM29" s="89"/>
      <c r="GN29" s="89"/>
      <c r="GO29" s="89"/>
      <c r="GP29" s="89"/>
      <c r="GQ29" s="89"/>
      <c r="GS29" s="89"/>
      <c r="GT29" s="89"/>
      <c r="GU29" s="89"/>
      <c r="GV29" s="89"/>
      <c r="GW29" s="89"/>
      <c r="GZ29" s="89"/>
      <c r="HA29" s="89"/>
      <c r="HB29" s="89"/>
      <c r="HC29" s="89"/>
      <c r="HD29" s="89"/>
      <c r="HE29" s="89"/>
      <c r="HF29" s="89"/>
      <c r="HG29" s="89"/>
      <c r="HH29" s="89"/>
      <c r="HI29" s="89"/>
      <c r="HJ29" s="89"/>
      <c r="HK29" s="89"/>
      <c r="HL29" s="89"/>
      <c r="HM29" s="89"/>
      <c r="HN29" s="28"/>
      <c r="HO29" s="28"/>
      <c r="HP29" s="28"/>
      <c r="HQ29" s="28"/>
      <c r="HR29" s="28"/>
      <c r="HS29" s="28"/>
      <c r="HT29" s="28"/>
      <c r="HU29" s="28"/>
      <c r="HV29" s="28"/>
      <c r="HW29" s="28"/>
      <c r="HX29" s="28"/>
      <c r="HY29" s="28"/>
      <c r="HZ29" s="28"/>
      <c r="IA29" s="28"/>
      <c r="IB29" s="28"/>
      <c r="IC29" s="28"/>
      <c r="ID29" s="28"/>
      <c r="IE29" s="92">
        <f>FX28</f>
        <v>0</v>
      </c>
      <c r="IF29" s="42">
        <f>((FX28*$BQ$27)/$BR$27)</f>
        <v>0</v>
      </c>
      <c r="IG29" s="42" t="e">
        <f>((FX28*$BQ$27)/$BS$27)</f>
        <v>#DIV/0!</v>
      </c>
      <c r="IH29" s="77" t="e">
        <f>((FX28*$BQ$27)/$BT$27)</f>
        <v>#DIV/0!</v>
      </c>
      <c r="II29" s="28"/>
      <c r="IJ29" s="31"/>
    </row>
    <row r="30" spans="1:244" ht="12.75">
      <c r="A30" t="s">
        <v>12</v>
      </c>
      <c r="C30" s="98">
        <f>IF($M$9="FL",HLOOKUP($K$15,$X$31:$AM$35,4,TRUE),IF($M$9="CO",HLOOKUP($K$15,$CA$31:$CP$35,4,TRUE),IF($M$9="IN",HLOOKUP($K$15,$CA$31:$CP$35,4,TRUE),IF($M$9="TX",HLOOKUP($K$15,$EE$31:$ET$35,4,TRUE),HLOOKUP($K$15,$GJ$31:$GY$35,4,TRUE)))))</f>
        <v>132.5</v>
      </c>
      <c r="D30" s="98">
        <f>IF($K$16="",0,IF($M$9="FL",HLOOKUP($K$16,$AO$31:$AZ$35,4,TRUE),IF($M$9="CO",HLOOKUP($K$16,$CR$31:$DC$35,4,TRUE),IF($M$9="IN",HLOOKUP($K$16,$CR$31:$DC$35,4,TRUE),IF($M$9="TX",HLOOKUP($K$16,$EV$31:$FG$35,4,TRUE),HLOOKUP($K$16,$HA$31:$HL$35,4,TRUE))))))</f>
        <v>47.59</v>
      </c>
      <c r="E30" s="98">
        <f>IF($K$17="",0,IF($M$9="FL",HLOOKUP($K$17,$BC$31:$BD$35,4,TRUE),IF($M$9="CO",HLOOKUP($K$17,$DF$31:$DG$35,4,TRUE),IF($M$9="IN",HLOOKUP($K$17,$DF$31:$DG$35,4,TRUE),IF($M$9="TX",HLOOKUP($K$17,$FJ$31:$FK$35,4,TRUE),HLOOKUP($K$17,$HO$31:$HP$35,4,TRUE))))))</f>
        <v>0</v>
      </c>
      <c r="F30" s="98">
        <f>IF($K$18="",0,IF($M$9="FL",HLOOKUP($K$18,$BF$31:$BH$35,4,TRUE),IF($M$9="CO",HLOOKUP($K$18,$DI$31:$DK$35,4,TRUE),IF($M$9="IN",HLOOKUP($K$18,$DI$66:$DK$70,4,TRUE),IF($M$9="TX",HLOOKUP($K$18,$FM$31:$FO$35,4,TRUE),HLOOKUP($K$18,$HR$31:$HT$35,4,TRUE))))))</f>
        <v>0</v>
      </c>
      <c r="G30" s="98">
        <f>IF($K$19="",0,IF($M$9="FL",HLOOKUP($K$19,$BJ$31:$BK$35,4,TRUE),IF($M$9="CO",HLOOKUP($K$19,$DM$31:$DN$35,4,TRUE),IF($M$9="IN",HLOOKUP($K$19,$DM$31:$DN$35,4,TRUE),IF($M$9="TX",HLOOKUP($K$19,$FQ$31:$FR$35,4,TRUE),HLOOKUP($K$19,$HV$31:$HW$35,4,TRUE))))))</f>
        <v>0</v>
      </c>
      <c r="H30" s="98">
        <f>IF($K$20="",0,IF($M$9="FL",HLOOKUP($K$20,$BM$31:$BP$35,4,TRUE),IF($M$9="CO",HLOOKUP($K$20,$DP$31:$DS$35,4,TRUE),IF($M$9="IN",HLOOKUP($K$20,$DP$31:$DS$35,4,TRUE),IF($M$9="TX",HLOOKUP($K$20,$FT$31:$FW$35,4,TRUE),HLOOKUP($K$20,$HY$31:$IB$35,4,TRUE))))))</f>
        <v>0</v>
      </c>
      <c r="J30" t="s">
        <v>55</v>
      </c>
      <c r="K30" s="24"/>
      <c r="L30" s="38">
        <f>IF(AND($K$16&lt;=($K$15*0.5),AND($K$16&lt;=2500),OR($K$17=15,$K$17=20,$K$17=""),OR($K$18=100,$K$18=200,$K$18=500,$K$18=""),OR($K$21="GENERIC",$K$21="GENERIC/BRAND",$K$21=""),OR($K$22=5000,$K$22=10000,$K$22=15000,$K$22=20000,$K$22=""),OR($K$46&lt;5000)),(C30+D30+E30+F30+G30+H30),"ERROR")</f>
        <v>180.09</v>
      </c>
      <c r="M30" s="38">
        <f>SUM(L30*K30)</f>
        <v>0</v>
      </c>
      <c r="N30" s="38"/>
      <c r="O30" s="76"/>
      <c r="P30" s="77"/>
      <c r="Q30" s="77">
        <f>IF($L$13&gt;0,(($BR$29*((100-$L$12)/100))+((BR31-$BR$29)*((100-$L$13)/100))),(($BR$29*((100-$L$12)/100))+((BR31-$BR$29))))</f>
        <v>90.045</v>
      </c>
      <c r="R30" s="58"/>
      <c r="U30" s="27"/>
      <c r="V30" s="28"/>
      <c r="W30" s="89"/>
      <c r="X30" s="3" t="s">
        <v>5</v>
      </c>
      <c r="Y30" s="3"/>
      <c r="Z30" s="3"/>
      <c r="AA30" s="3"/>
      <c r="AB30" s="3"/>
      <c r="AC30" s="3"/>
      <c r="AD30" s="3"/>
      <c r="AE30" s="3"/>
      <c r="AG30" s="3"/>
      <c r="AH30" s="3"/>
      <c r="AI30" s="3"/>
      <c r="AJ30" s="3"/>
      <c r="AK30" s="150"/>
      <c r="AN30" s="89"/>
      <c r="AO30" s="3" t="s">
        <v>5</v>
      </c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28"/>
      <c r="BC30" s="28"/>
      <c r="BD30" s="28"/>
      <c r="BE30" s="28"/>
      <c r="BF30" s="89"/>
      <c r="BG30" s="89"/>
      <c r="BH30" s="89"/>
      <c r="BI30" s="28"/>
      <c r="BJ30" s="28"/>
      <c r="BK30" s="28"/>
      <c r="BL30" s="28"/>
      <c r="BM30" s="28"/>
      <c r="BN30" s="28"/>
      <c r="BO30" s="28"/>
      <c r="BP30" s="28"/>
      <c r="BQ30" s="92"/>
      <c r="BR30" s="186">
        <f>((L29*12)/$Q$26)</f>
        <v>64.33500000000001</v>
      </c>
      <c r="BS30" s="42">
        <f>((BR30-BR29)*12/$BR$27)</f>
        <v>14.297500000000005</v>
      </c>
      <c r="BT30" s="77"/>
      <c r="BU30" s="28"/>
      <c r="BV30" s="31"/>
      <c r="BX30" s="27"/>
      <c r="BY30" s="28"/>
      <c r="BZ30" s="89"/>
      <c r="CA30" s="3" t="s">
        <v>5</v>
      </c>
      <c r="CB30" s="3"/>
      <c r="CC30" s="3"/>
      <c r="CD30" s="3"/>
      <c r="CE30" s="3"/>
      <c r="CF30" s="3"/>
      <c r="CG30" s="3"/>
      <c r="CH30" s="3"/>
      <c r="CJ30" s="3"/>
      <c r="CK30" s="3"/>
      <c r="CL30" s="3"/>
      <c r="CM30" s="3"/>
      <c r="CN30" s="150"/>
      <c r="CQ30" s="89"/>
      <c r="CR30" s="3" t="s">
        <v>5</v>
      </c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28"/>
      <c r="DF30" s="28"/>
      <c r="DG30" s="28"/>
      <c r="DH30" s="28"/>
      <c r="DI30" s="89"/>
      <c r="DJ30" s="89"/>
      <c r="DK30" s="89"/>
      <c r="DL30" s="28"/>
      <c r="DM30" s="28"/>
      <c r="DN30" s="28"/>
      <c r="DO30" s="28"/>
      <c r="DP30" s="28"/>
      <c r="DQ30" s="28"/>
      <c r="DR30" s="28"/>
      <c r="DS30" s="28"/>
      <c r="DT30" s="28"/>
      <c r="DU30" s="92" t="e">
        <f>#REF!</f>
        <v>#REF!</v>
      </c>
      <c r="DV30" s="42" t="e">
        <f>((#REF!*$BQ$27)/$BR$27)</f>
        <v>#REF!</v>
      </c>
      <c r="DW30" s="42" t="e">
        <f>((#REF!*$BQ$27)/$BS$27)</f>
        <v>#REF!</v>
      </c>
      <c r="DX30" s="77" t="e">
        <f>((#REF!*$BQ$27)/$BT$27)</f>
        <v>#REF!</v>
      </c>
      <c r="DY30" s="28"/>
      <c r="DZ30" s="31"/>
      <c r="EB30" s="27"/>
      <c r="EC30" s="28"/>
      <c r="ED30" s="89"/>
      <c r="EE30" s="3" t="s">
        <v>5</v>
      </c>
      <c r="EF30" s="3"/>
      <c r="EG30" s="3"/>
      <c r="EH30" s="3"/>
      <c r="EI30" s="3"/>
      <c r="EJ30" s="3"/>
      <c r="EK30" s="3"/>
      <c r="EL30" s="3"/>
      <c r="EN30" s="3"/>
      <c r="EO30" s="3"/>
      <c r="EP30" s="3"/>
      <c r="EQ30" s="3"/>
      <c r="ER30" s="150"/>
      <c r="EU30" s="89"/>
      <c r="EV30" s="3" t="s">
        <v>5</v>
      </c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28"/>
      <c r="FJ30" s="28"/>
      <c r="FK30" s="28"/>
      <c r="FL30" s="28"/>
      <c r="FM30" s="89"/>
      <c r="FN30" s="89"/>
      <c r="FO30" s="89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92">
        <f>DT29</f>
        <v>0</v>
      </c>
      <c r="GA30" s="42">
        <f>((DT29*$BQ$27)/$BR$27)</f>
        <v>0</v>
      </c>
      <c r="GB30" s="42" t="e">
        <f>((DT29*$BQ$27)/$BS$27)</f>
        <v>#DIV/0!</v>
      </c>
      <c r="GC30" s="77" t="e">
        <f>((DT29*$BQ$27)/$BT$27)</f>
        <v>#DIV/0!</v>
      </c>
      <c r="GD30" s="28"/>
      <c r="GE30" s="31"/>
      <c r="GG30" s="27"/>
      <c r="GH30" s="28"/>
      <c r="GI30" s="89"/>
      <c r="GJ30" s="3" t="s">
        <v>5</v>
      </c>
      <c r="GK30" s="3"/>
      <c r="GL30" s="3"/>
      <c r="GM30" s="3"/>
      <c r="GN30" s="3"/>
      <c r="GO30" s="3"/>
      <c r="GP30" s="3"/>
      <c r="GQ30" s="3"/>
      <c r="GS30" s="3"/>
      <c r="GT30" s="3"/>
      <c r="GU30" s="3"/>
      <c r="GV30" s="3"/>
      <c r="GW30" s="150"/>
      <c r="GZ30" s="89"/>
      <c r="HA30" s="3" t="s">
        <v>5</v>
      </c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28"/>
      <c r="HO30" s="28"/>
      <c r="HP30" s="28"/>
      <c r="HQ30" s="28"/>
      <c r="HR30" s="89"/>
      <c r="HS30" s="89"/>
      <c r="HT30" s="89"/>
      <c r="HU30" s="28"/>
      <c r="HV30" s="28"/>
      <c r="HW30" s="28"/>
      <c r="HX30" s="28"/>
      <c r="HY30" s="28"/>
      <c r="HZ30" s="28"/>
      <c r="IA30" s="28"/>
      <c r="IB30" s="28"/>
      <c r="IC30" s="28"/>
      <c r="ID30" s="28"/>
      <c r="IE30" s="92">
        <f>FX29</f>
        <v>0</v>
      </c>
      <c r="IF30" s="42">
        <f>((FX29*$BQ$27)/$BR$27)</f>
        <v>0</v>
      </c>
      <c r="IG30" s="42" t="e">
        <f>((FX29*$BQ$27)/$BS$27)</f>
        <v>#DIV/0!</v>
      </c>
      <c r="IH30" s="77" t="e">
        <f>((FX29*$BQ$27)/$BT$27)</f>
        <v>#DIV/0!</v>
      </c>
      <c r="II30" s="28"/>
      <c r="IJ30" s="31"/>
    </row>
    <row r="31" spans="1:244" ht="12.75">
      <c r="A31" t="s">
        <v>13</v>
      </c>
      <c r="C31" s="98">
        <f>IF($M$9="FL",HLOOKUP($K$15,$X$31:$AM$35,5,TRUE),IF($M$9="CO",HLOOKUP($K$15,$CA$31:$CP$35,5,TRUE),IF($M$9="IN",HLOOKUP($K$15,$CA$31:$CP$35,5,TRUE),IF($M$9="TX",HLOOKUP($K$15,$EE$31:$ET$35,5,TRUE),HLOOKUP($K$15,$GJ$31:$GY$35,5,TRUE)))))</f>
        <v>172.1</v>
      </c>
      <c r="D31" s="98">
        <f>IF($K$16="",0,IF($M$9="FL",HLOOKUP($K$16,$AO$31:$AZ$35,5,TRUE),IF($M$9="CO",HLOOKUP($K$16,$CR$31:$DC$35,5,TRUE),IF($M$9="IN",HLOOKUP($K$16,$CR$31:$DC$35,5,TRUE),IF($M$9="TX",HLOOKUP($K$16,$EV$31:$FG$35,5,TRUE),HLOOKUP($K$16,$HA$31:$HL$35,5,TRUE))))))</f>
        <v>65.14</v>
      </c>
      <c r="E31" s="98">
        <f>IF($K$17="",0,IF($M$9="FL",HLOOKUP($K$17,$BC$31:$BD$35,5,TRUE),IF($M$9="CO",HLOOKUP($K$17,$DF$31:$DG$35,5,TRUE),IF($M$9="IN",HLOOKUP($K$17,$DF$31:$DG$35,5,TRUE),IF($M$9="TX",HLOOKUP($K$17,$FJ$31:$FK$35,5,TRUE),HLOOKUP($K$17,$HO$31:$HP$35,5,TRUE))))))</f>
        <v>0</v>
      </c>
      <c r="F31" s="98">
        <f>IF($K$18="",0,IF($M$9="FL",HLOOKUP($K$18,$BF$31:$BH$35,5,TRUE),IF($M$9="CO",HLOOKUP($K$18,$DI$31:$DK$35,5,TRUE),IF($M$9="IN",HLOOKUP($K$18,$DI$66:$DK$70,5,TRUE),IF($M$9="TX",HLOOKUP($K$18,$FM$31:$FO$35,5,TRUE),HLOOKUP($K$18,$HR$31:$HT$35,5,TRUE))))))</f>
        <v>0</v>
      </c>
      <c r="G31" s="98">
        <f>IF($K$19="",0,IF($M$9="FL",HLOOKUP($K$19,$BJ$31:$BK$35,5,TRUE),IF($M$9="CO",HLOOKUP($K$19,$DM$31:$DN$35,5,TRUE),IF($M$9="IN",HLOOKUP($K$19,$DM$31:$DN$35,5,TRUE),IF($M$9="TX",HLOOKUP($K$19,$FQ$31:$FR$35,5,TRUE),HLOOKUP($K$19,$HV$31:$HW$35,5,TRUE))))))</f>
        <v>0</v>
      </c>
      <c r="H31" s="98">
        <f>IF($K$20="",0,IF($M$9="FL",HLOOKUP($K$20,$BM$31:$BP$35,5,TRUE),IF($M$9="CO",HLOOKUP($K$20,$DP$31:$DS$35,5,TRUE),IF($M$9="IN",HLOOKUP($K$20,$DP$31:$DS$35,5,TRUE),IF($M$9="TX",HLOOKUP($K$20,$FT$31:$FW$35,5,TRUE),HLOOKUP($K$20,$HY$31:$IB$35,5,TRUE))))))</f>
        <v>0</v>
      </c>
      <c r="J31" t="s">
        <v>54</v>
      </c>
      <c r="K31" s="24"/>
      <c r="L31" s="38">
        <f>IF(AND($K$16&lt;=($K$15*0.5),AND($K$16&lt;=2500),OR($K$17=15,$K$17=20,$K$17=""),OR($K$18=100,$K$18=200,$K$18=500,$K$18=""),OR($K$21="GENERIC",$K$21="GENERIC/BRAND",$K$21=""),OR($K$22=5000,$K$22=10000,$K$22=15000,$K$22=20000,$K$22=""),OR($K$46&lt;5000)),(C31+D31+E31+F31+G31+H31),"ERROR")</f>
        <v>237.24</v>
      </c>
      <c r="M31" s="38">
        <f>SUM(L31*K31)</f>
        <v>0</v>
      </c>
      <c r="N31" s="38"/>
      <c r="O31" s="76"/>
      <c r="P31" s="77"/>
      <c r="Q31" s="77">
        <f>IF($L$13&gt;0,(($BR$29*((100-$L$12)/100))+((BR32-$BR$29)*((100-$L$13)/100))),(($BR$29*((100-$L$12)/100))+((BR32-$BR$29))))</f>
        <v>118.62</v>
      </c>
      <c r="R31" s="58"/>
      <c r="U31" s="27"/>
      <c r="V31" s="28"/>
      <c r="W31" s="89"/>
      <c r="X31" s="4">
        <v>500</v>
      </c>
      <c r="Y31" s="4">
        <v>1000</v>
      </c>
      <c r="Z31" s="4">
        <v>1500</v>
      </c>
      <c r="AA31" s="4">
        <v>2000</v>
      </c>
      <c r="AB31" s="4">
        <v>2500</v>
      </c>
      <c r="AC31" s="4">
        <v>3000</v>
      </c>
      <c r="AD31" s="4">
        <v>3500</v>
      </c>
      <c r="AE31" s="4">
        <v>4000</v>
      </c>
      <c r="AF31" s="112">
        <v>4500</v>
      </c>
      <c r="AG31" s="4">
        <v>5000</v>
      </c>
      <c r="AH31" s="4">
        <v>6000</v>
      </c>
      <c r="AI31" s="4">
        <v>6500</v>
      </c>
      <c r="AJ31" s="4">
        <v>7000</v>
      </c>
      <c r="AK31" s="151">
        <v>7500</v>
      </c>
      <c r="AL31" s="112">
        <v>8000</v>
      </c>
      <c r="AM31" s="112">
        <v>10000</v>
      </c>
      <c r="AN31" s="89"/>
      <c r="AO31" s="4">
        <v>250</v>
      </c>
      <c r="AP31" s="4">
        <v>500</v>
      </c>
      <c r="AQ31" s="4">
        <v>750</v>
      </c>
      <c r="AR31" s="4">
        <v>1000</v>
      </c>
      <c r="AS31" s="4">
        <v>1250</v>
      </c>
      <c r="AT31" s="4">
        <v>1500</v>
      </c>
      <c r="AU31" s="4">
        <v>1750</v>
      </c>
      <c r="AV31" s="4">
        <v>2000</v>
      </c>
      <c r="AW31" s="4">
        <v>2250</v>
      </c>
      <c r="AX31" s="4">
        <v>2500</v>
      </c>
      <c r="AY31" s="4"/>
      <c r="AZ31" s="4"/>
      <c r="BB31" s="28"/>
      <c r="BC31" s="20">
        <v>15</v>
      </c>
      <c r="BD31" s="20">
        <v>20</v>
      </c>
      <c r="BE31" s="28"/>
      <c r="BF31" s="20">
        <v>100</v>
      </c>
      <c r="BG31" s="20">
        <v>200</v>
      </c>
      <c r="BH31" s="20">
        <v>500</v>
      </c>
      <c r="BI31" s="28"/>
      <c r="BJ31" s="93" t="s">
        <v>39</v>
      </c>
      <c r="BK31" s="93" t="s">
        <v>42</v>
      </c>
      <c r="BL31" s="28"/>
      <c r="BM31" s="94">
        <v>5000</v>
      </c>
      <c r="BN31" s="94">
        <v>10000</v>
      </c>
      <c r="BO31" s="94">
        <v>15000</v>
      </c>
      <c r="BP31" s="94">
        <v>20000</v>
      </c>
      <c r="BQ31" s="92"/>
      <c r="BR31" s="186">
        <f>((L30*12)/$Q$26)</f>
        <v>90.045</v>
      </c>
      <c r="BS31" s="42"/>
      <c r="BT31" s="77"/>
      <c r="BU31" s="28"/>
      <c r="BV31" s="31"/>
      <c r="BX31" s="27"/>
      <c r="BY31" s="28"/>
      <c r="BZ31" s="89"/>
      <c r="CA31" s="4">
        <v>500</v>
      </c>
      <c r="CB31" s="4">
        <v>1000</v>
      </c>
      <c r="CC31" s="4">
        <v>1500</v>
      </c>
      <c r="CD31" s="4">
        <v>2000</v>
      </c>
      <c r="CE31" s="4">
        <v>2500</v>
      </c>
      <c r="CF31" s="4">
        <v>3000</v>
      </c>
      <c r="CG31" s="4">
        <v>3500</v>
      </c>
      <c r="CH31" s="4">
        <v>4000</v>
      </c>
      <c r="CI31" s="112">
        <v>4500</v>
      </c>
      <c r="CJ31" s="4">
        <v>5000</v>
      </c>
      <c r="CK31" s="4">
        <v>6000</v>
      </c>
      <c r="CL31" s="4">
        <v>6500</v>
      </c>
      <c r="CM31" s="4">
        <v>7000</v>
      </c>
      <c r="CN31" s="151">
        <v>7500</v>
      </c>
      <c r="CO31" s="112">
        <v>8000</v>
      </c>
      <c r="CP31" s="112">
        <v>10000</v>
      </c>
      <c r="CQ31" s="89"/>
      <c r="CR31" s="4">
        <v>250</v>
      </c>
      <c r="CS31" s="4">
        <v>500</v>
      </c>
      <c r="CT31" s="4">
        <v>750</v>
      </c>
      <c r="CU31" s="4">
        <v>1000</v>
      </c>
      <c r="CV31" s="4">
        <v>1250</v>
      </c>
      <c r="CW31" s="4">
        <v>1500</v>
      </c>
      <c r="CX31" s="4">
        <v>1750</v>
      </c>
      <c r="CY31" s="4">
        <v>2000</v>
      </c>
      <c r="CZ31" s="4">
        <v>2250</v>
      </c>
      <c r="DA31" s="4">
        <v>2500</v>
      </c>
      <c r="DB31" s="4"/>
      <c r="DC31" s="4"/>
      <c r="DE31" s="28"/>
      <c r="DF31" s="20">
        <v>15</v>
      </c>
      <c r="DG31" s="20">
        <v>20</v>
      </c>
      <c r="DH31" s="28"/>
      <c r="DI31" s="20">
        <v>100</v>
      </c>
      <c r="DJ31" s="20">
        <v>200</v>
      </c>
      <c r="DK31" s="20">
        <v>500</v>
      </c>
      <c r="DL31" s="28"/>
      <c r="DM31" s="93" t="s">
        <v>39</v>
      </c>
      <c r="DN31" s="93" t="s">
        <v>42</v>
      </c>
      <c r="DO31" s="28"/>
      <c r="DP31" s="94">
        <v>5000</v>
      </c>
      <c r="DQ31" s="94">
        <v>10000</v>
      </c>
      <c r="DR31" s="94">
        <v>15000</v>
      </c>
      <c r="DS31" s="94">
        <v>20000</v>
      </c>
      <c r="DT31" s="28"/>
      <c r="DU31" s="92" t="e">
        <f>#REF!</f>
        <v>#REF!</v>
      </c>
      <c r="DV31" s="42" t="e">
        <f>((#REF!*$BQ$27)/$BR$27)</f>
        <v>#REF!</v>
      </c>
      <c r="DW31" s="42" t="e">
        <f>((#REF!*$BQ$27)/$BS$27)</f>
        <v>#REF!</v>
      </c>
      <c r="DX31" s="77" t="e">
        <f>((#REF!*$BQ$27)/$BT$27)</f>
        <v>#REF!</v>
      </c>
      <c r="DY31" s="28"/>
      <c r="DZ31" s="31"/>
      <c r="EB31" s="27"/>
      <c r="EC31" s="28"/>
      <c r="ED31" s="89"/>
      <c r="EE31" s="4">
        <v>500</v>
      </c>
      <c r="EF31" s="4">
        <v>1000</v>
      </c>
      <c r="EG31" s="4">
        <v>1500</v>
      </c>
      <c r="EH31" s="4">
        <v>2000</v>
      </c>
      <c r="EI31" s="4">
        <v>2500</v>
      </c>
      <c r="EJ31" s="4">
        <v>3000</v>
      </c>
      <c r="EK31" s="4">
        <v>3500</v>
      </c>
      <c r="EL31" s="4">
        <v>4000</v>
      </c>
      <c r="EM31" s="112">
        <v>4500</v>
      </c>
      <c r="EN31" s="4">
        <v>5000</v>
      </c>
      <c r="EO31" s="4">
        <v>6000</v>
      </c>
      <c r="EP31" s="4">
        <v>6500</v>
      </c>
      <c r="EQ31" s="4">
        <v>7000</v>
      </c>
      <c r="ER31" s="151">
        <v>7500</v>
      </c>
      <c r="ES31" s="112">
        <v>8000</v>
      </c>
      <c r="ET31" s="112">
        <v>10000</v>
      </c>
      <c r="EU31" s="89"/>
      <c r="EV31" s="4">
        <v>250</v>
      </c>
      <c r="EW31" s="4">
        <v>500</v>
      </c>
      <c r="EX31" s="4">
        <v>750</v>
      </c>
      <c r="EY31" s="4">
        <v>1000</v>
      </c>
      <c r="EZ31" s="4">
        <v>1250</v>
      </c>
      <c r="FA31" s="4">
        <v>1500</v>
      </c>
      <c r="FB31" s="4">
        <v>1750</v>
      </c>
      <c r="FC31" s="4">
        <v>2000</v>
      </c>
      <c r="FD31" s="4">
        <v>2250</v>
      </c>
      <c r="FE31" s="4">
        <v>2500</v>
      </c>
      <c r="FF31" s="4"/>
      <c r="FG31" s="4"/>
      <c r="FI31" s="28"/>
      <c r="FJ31" s="20">
        <v>15</v>
      </c>
      <c r="FK31" s="20">
        <v>20</v>
      </c>
      <c r="FL31" s="28"/>
      <c r="FM31" s="20">
        <v>100</v>
      </c>
      <c r="FN31" s="20">
        <v>200</v>
      </c>
      <c r="FO31" s="20">
        <v>500</v>
      </c>
      <c r="FP31" s="28"/>
      <c r="FQ31" s="93" t="s">
        <v>39</v>
      </c>
      <c r="FR31" s="93" t="s">
        <v>42</v>
      </c>
      <c r="FS31" s="28"/>
      <c r="FT31" s="94">
        <v>5000</v>
      </c>
      <c r="FU31" s="94">
        <v>10000</v>
      </c>
      <c r="FV31" s="94">
        <v>15000</v>
      </c>
      <c r="FW31" s="94">
        <v>20000</v>
      </c>
      <c r="FX31" s="28"/>
      <c r="FY31" s="93"/>
      <c r="FZ31" s="92">
        <f>DT30</f>
        <v>0</v>
      </c>
      <c r="GA31" s="42">
        <f>((DT30*$BQ$27)/$BR$27)</f>
        <v>0</v>
      </c>
      <c r="GB31" s="42" t="e">
        <f>((DT30*$BQ$27)/$BS$27)</f>
        <v>#DIV/0!</v>
      </c>
      <c r="GC31" s="77" t="e">
        <f>((DT30*$BQ$27)/$BT$27)</f>
        <v>#DIV/0!</v>
      </c>
      <c r="GD31" s="28"/>
      <c r="GE31" s="31"/>
      <c r="GG31" s="27"/>
      <c r="GH31" s="28"/>
      <c r="GI31" s="89"/>
      <c r="GJ31" s="4">
        <v>500</v>
      </c>
      <c r="GK31" s="4">
        <v>1000</v>
      </c>
      <c r="GL31" s="4">
        <v>1500</v>
      </c>
      <c r="GM31" s="4">
        <v>2000</v>
      </c>
      <c r="GN31" s="4">
        <v>2500</v>
      </c>
      <c r="GO31" s="4">
        <v>3000</v>
      </c>
      <c r="GP31" s="4">
        <v>3500</v>
      </c>
      <c r="GQ31" s="4">
        <v>4000</v>
      </c>
      <c r="GR31" s="112">
        <v>4500</v>
      </c>
      <c r="GS31" s="4">
        <v>5000</v>
      </c>
      <c r="GT31" s="4">
        <v>6000</v>
      </c>
      <c r="GU31" s="4">
        <v>6500</v>
      </c>
      <c r="GV31" s="4">
        <v>7000</v>
      </c>
      <c r="GW31" s="151">
        <v>7500</v>
      </c>
      <c r="GX31" s="112">
        <v>8000</v>
      </c>
      <c r="GY31" s="112">
        <v>10000</v>
      </c>
      <c r="GZ31" s="89"/>
      <c r="HA31" s="4">
        <v>250</v>
      </c>
      <c r="HB31" s="4">
        <v>500</v>
      </c>
      <c r="HC31" s="4">
        <v>750</v>
      </c>
      <c r="HD31" s="4">
        <v>1000</v>
      </c>
      <c r="HE31" s="4">
        <v>1250</v>
      </c>
      <c r="HF31" s="4">
        <v>1500</v>
      </c>
      <c r="HG31" s="4">
        <v>1750</v>
      </c>
      <c r="HH31" s="4">
        <v>2000</v>
      </c>
      <c r="HI31" s="4">
        <v>2250</v>
      </c>
      <c r="HJ31" s="4">
        <v>2500</v>
      </c>
      <c r="HK31" s="4"/>
      <c r="HL31" s="4"/>
      <c r="HN31" s="28"/>
      <c r="HO31" s="20">
        <v>15</v>
      </c>
      <c r="HP31" s="20">
        <v>20</v>
      </c>
      <c r="HQ31" s="28"/>
      <c r="HR31" s="20">
        <v>100</v>
      </c>
      <c r="HS31" s="20">
        <v>200</v>
      </c>
      <c r="HT31" s="20">
        <v>500</v>
      </c>
      <c r="HU31" s="28"/>
      <c r="HV31" s="93" t="s">
        <v>39</v>
      </c>
      <c r="HW31" s="93" t="s">
        <v>42</v>
      </c>
      <c r="HX31" s="28"/>
      <c r="HY31" s="94">
        <v>5000</v>
      </c>
      <c r="HZ31" s="94">
        <v>10000</v>
      </c>
      <c r="IA31" s="94">
        <v>15000</v>
      </c>
      <c r="IB31" s="94">
        <v>20000</v>
      </c>
      <c r="IC31" s="28"/>
      <c r="ID31" s="93"/>
      <c r="IE31" s="92">
        <f>FX30</f>
        <v>0</v>
      </c>
      <c r="IF31" s="42">
        <f>((FX30*$BQ$27)/$BR$27)</f>
        <v>0</v>
      </c>
      <c r="IG31" s="42" t="e">
        <f>((FX30*$BQ$27)/$BS$27)</f>
        <v>#DIV/0!</v>
      </c>
      <c r="IH31" s="77" t="e">
        <f>((FX30*$BQ$27)/$BT$27)</f>
        <v>#DIV/0!</v>
      </c>
      <c r="II31" s="28"/>
      <c r="IJ31" s="31"/>
    </row>
    <row r="32" spans="12:244" ht="7.5" customHeight="1">
      <c r="L32" s="38"/>
      <c r="M32" s="38"/>
      <c r="N32" s="38"/>
      <c r="O32" s="75"/>
      <c r="P32" s="68"/>
      <c r="Q32" s="68"/>
      <c r="R32" s="58"/>
      <c r="U32" s="5" t="s">
        <v>0</v>
      </c>
      <c r="V32" s="6"/>
      <c r="W32" s="89"/>
      <c r="X32" s="7">
        <v>3.02</v>
      </c>
      <c r="Y32" s="7">
        <v>5.91</v>
      </c>
      <c r="Z32" s="7">
        <v>8.62</v>
      </c>
      <c r="AA32" s="7">
        <v>11.2</v>
      </c>
      <c r="AB32" s="7">
        <v>13.6</v>
      </c>
      <c r="AC32" s="7">
        <v>15.94</v>
      </c>
      <c r="AD32" s="7">
        <v>18.22</v>
      </c>
      <c r="AE32" s="7">
        <v>20.37</v>
      </c>
      <c r="AF32" s="113">
        <v>22.49</v>
      </c>
      <c r="AG32" s="7">
        <v>24.62</v>
      </c>
      <c r="AH32" s="7">
        <v>28.62</v>
      </c>
      <c r="AI32" s="7">
        <v>30.52</v>
      </c>
      <c r="AJ32" s="7">
        <v>32.43</v>
      </c>
      <c r="AK32" s="152">
        <v>34.28</v>
      </c>
      <c r="AL32" s="113">
        <v>36.12</v>
      </c>
      <c r="AM32" s="113">
        <v>43.2</v>
      </c>
      <c r="AN32" s="89"/>
      <c r="AO32" s="12">
        <v>4.7</v>
      </c>
      <c r="AP32" s="12">
        <v>8.46</v>
      </c>
      <c r="AQ32" s="7">
        <v>10.15</v>
      </c>
      <c r="AR32" s="7">
        <v>11.74</v>
      </c>
      <c r="AS32" s="7">
        <v>12.92</v>
      </c>
      <c r="AT32" s="7">
        <v>14.09</v>
      </c>
      <c r="AU32" s="7">
        <v>15.1</v>
      </c>
      <c r="AV32" s="7">
        <v>16.1</v>
      </c>
      <c r="AW32" s="7">
        <v>16.91</v>
      </c>
      <c r="AX32" s="7">
        <v>17.72</v>
      </c>
      <c r="AY32" s="7"/>
      <c r="AZ32" s="7"/>
      <c r="BB32" s="28"/>
      <c r="BC32" s="7">
        <v>3.95</v>
      </c>
      <c r="BD32" s="7">
        <v>6.07</v>
      </c>
      <c r="BE32" s="28"/>
      <c r="BF32" s="7">
        <v>1.6</v>
      </c>
      <c r="BG32" s="7">
        <v>3.09</v>
      </c>
      <c r="BH32" s="7">
        <v>6.92</v>
      </c>
      <c r="BI32" s="28"/>
      <c r="BJ32" s="46">
        <v>9.04</v>
      </c>
      <c r="BK32" s="46">
        <v>17.38</v>
      </c>
      <c r="BL32" s="28"/>
      <c r="BM32" s="95">
        <v>1.31</v>
      </c>
      <c r="BN32" s="95">
        <v>2.62</v>
      </c>
      <c r="BO32" s="95">
        <v>3.93</v>
      </c>
      <c r="BP32" s="95">
        <v>5.25</v>
      </c>
      <c r="BQ32" s="92"/>
      <c r="BR32" s="186">
        <f>((L31*12)/$Q$26)</f>
        <v>118.62</v>
      </c>
      <c r="BS32" s="42"/>
      <c r="BT32" s="77"/>
      <c r="BU32" s="28"/>
      <c r="BV32" s="31"/>
      <c r="BX32" s="5" t="s">
        <v>0</v>
      </c>
      <c r="BY32" s="6"/>
      <c r="BZ32" s="89"/>
      <c r="CA32" s="7">
        <v>3.27</v>
      </c>
      <c r="CB32" s="7">
        <v>6.4</v>
      </c>
      <c r="CC32" s="7">
        <v>9.33</v>
      </c>
      <c r="CD32" s="7">
        <v>12.13</v>
      </c>
      <c r="CE32" s="7">
        <v>14.73</v>
      </c>
      <c r="CF32" s="7">
        <v>17.27</v>
      </c>
      <c r="CG32" s="7">
        <v>19.73</v>
      </c>
      <c r="CH32" s="7">
        <v>22.07</v>
      </c>
      <c r="CI32" s="113">
        <v>24.37</v>
      </c>
      <c r="CJ32" s="7">
        <v>26.67</v>
      </c>
      <c r="CK32" s="7">
        <v>31</v>
      </c>
      <c r="CL32" s="7">
        <v>33.07</v>
      </c>
      <c r="CM32" s="7">
        <v>35.13</v>
      </c>
      <c r="CN32" s="152">
        <v>37.13</v>
      </c>
      <c r="CO32" s="113">
        <v>39.13</v>
      </c>
      <c r="CP32" s="113">
        <v>46.8</v>
      </c>
      <c r="CQ32" s="89"/>
      <c r="CR32" s="12">
        <v>5.1</v>
      </c>
      <c r="CS32" s="7">
        <v>9.17</v>
      </c>
      <c r="CT32" s="7">
        <v>11</v>
      </c>
      <c r="CU32" s="7">
        <v>12.72</v>
      </c>
      <c r="CV32" s="7">
        <v>13.99</v>
      </c>
      <c r="CW32" s="7">
        <v>15.26</v>
      </c>
      <c r="CX32" s="7">
        <v>16.36</v>
      </c>
      <c r="CY32" s="7">
        <v>17.45</v>
      </c>
      <c r="CZ32" s="7">
        <v>18.32</v>
      </c>
      <c r="DA32" s="7">
        <v>19.19</v>
      </c>
      <c r="DB32" s="7"/>
      <c r="DC32" s="7"/>
      <c r="DE32" s="28"/>
      <c r="DF32" s="7">
        <v>4.28</v>
      </c>
      <c r="DG32" s="7">
        <v>6.57</v>
      </c>
      <c r="DH32" s="28"/>
      <c r="DI32" s="7">
        <v>1.74</v>
      </c>
      <c r="DJ32" s="7">
        <v>3.35</v>
      </c>
      <c r="DK32" s="7">
        <v>7.5</v>
      </c>
      <c r="DL32" s="28"/>
      <c r="DM32" s="46">
        <v>9.79</v>
      </c>
      <c r="DN32" s="46">
        <v>18.83</v>
      </c>
      <c r="DO32" s="28"/>
      <c r="DP32" s="95">
        <v>1.42</v>
      </c>
      <c r="DQ32" s="95">
        <v>2.84</v>
      </c>
      <c r="DR32" s="95">
        <v>4.26</v>
      </c>
      <c r="DS32" s="95">
        <v>5.68</v>
      </c>
      <c r="DT32" s="28"/>
      <c r="DU32" s="92" t="e">
        <f>#REF!</f>
        <v>#REF!</v>
      </c>
      <c r="DV32" s="42" t="e">
        <f>((#REF!*$BQ$27)/$BR$27)</f>
        <v>#REF!</v>
      </c>
      <c r="DW32" s="42" t="e">
        <f>((#REF!*$BQ$27)/$BS$27)</f>
        <v>#REF!</v>
      </c>
      <c r="DX32" s="77" t="e">
        <f>((#REF!*$BQ$27)/$BT$27)</f>
        <v>#REF!</v>
      </c>
      <c r="DY32" s="28"/>
      <c r="DZ32" s="31"/>
      <c r="EB32" s="5" t="s">
        <v>0</v>
      </c>
      <c r="EC32" s="6"/>
      <c r="ED32" s="89"/>
      <c r="EE32" s="7">
        <v>4.9</v>
      </c>
      <c r="EF32" s="7">
        <v>8.74</v>
      </c>
      <c r="EG32" s="7">
        <v>10.65</v>
      </c>
      <c r="EH32" s="7">
        <v>12.53</v>
      </c>
      <c r="EI32" s="7">
        <v>16.5</v>
      </c>
      <c r="EJ32" s="7">
        <v>20.37</v>
      </c>
      <c r="EK32" s="7">
        <v>23.13</v>
      </c>
      <c r="EL32" s="7">
        <v>25.74</v>
      </c>
      <c r="EM32" s="113">
        <v>28.04</v>
      </c>
      <c r="EN32" s="7">
        <v>30.34</v>
      </c>
      <c r="EO32" s="7">
        <v>35.11</v>
      </c>
      <c r="EP32" s="7">
        <v>37.16</v>
      </c>
      <c r="EQ32" s="7">
        <v>39.2</v>
      </c>
      <c r="ER32" s="113">
        <v>41.12</v>
      </c>
      <c r="ES32" s="113">
        <v>43.04</v>
      </c>
      <c r="ET32" s="113">
        <v>49.5</v>
      </c>
      <c r="EU32" s="89"/>
      <c r="EV32" s="12">
        <v>5.84</v>
      </c>
      <c r="EW32" s="12">
        <v>10.5</v>
      </c>
      <c r="EX32" s="7">
        <v>12.6</v>
      </c>
      <c r="EY32" s="7">
        <v>14.57</v>
      </c>
      <c r="EZ32" s="7">
        <v>16.03</v>
      </c>
      <c r="FA32" s="7">
        <v>17.48</v>
      </c>
      <c r="FB32" s="7">
        <v>18.73</v>
      </c>
      <c r="FC32" s="7">
        <v>19.98</v>
      </c>
      <c r="FD32" s="7">
        <v>20.99</v>
      </c>
      <c r="FE32" s="7">
        <v>21.98</v>
      </c>
      <c r="FF32" s="7"/>
      <c r="FG32" s="7"/>
      <c r="FI32" s="28"/>
      <c r="FJ32" s="7">
        <v>4.9</v>
      </c>
      <c r="FK32" s="7">
        <v>7.53</v>
      </c>
      <c r="FL32" s="28"/>
      <c r="FM32" s="7">
        <v>1.99</v>
      </c>
      <c r="FN32" s="7">
        <v>3.83</v>
      </c>
      <c r="FO32" s="7">
        <v>8.59</v>
      </c>
      <c r="FP32" s="28"/>
      <c r="FQ32" s="46">
        <v>10.68</v>
      </c>
      <c r="FR32" s="46">
        <v>20.54</v>
      </c>
      <c r="FS32" s="28"/>
      <c r="FT32" s="95">
        <v>1.55</v>
      </c>
      <c r="FU32" s="95">
        <v>3.1</v>
      </c>
      <c r="FV32" s="95">
        <v>4.65</v>
      </c>
      <c r="FW32" s="95">
        <v>6.2</v>
      </c>
      <c r="FX32" s="28"/>
      <c r="FY32" s="89"/>
      <c r="FZ32" s="92">
        <f>DT31</f>
        <v>0</v>
      </c>
      <c r="GA32" s="42">
        <f>((DT31*$BQ$27)/$BR$27)</f>
        <v>0</v>
      </c>
      <c r="GB32" s="42" t="e">
        <f>((DT31*$BQ$27)/$BS$27)</f>
        <v>#DIV/0!</v>
      </c>
      <c r="GC32" s="77" t="e">
        <f>((DT31*$BQ$27)/$BT$27)</f>
        <v>#DIV/0!</v>
      </c>
      <c r="GD32" s="28"/>
      <c r="GE32" s="31"/>
      <c r="GG32" s="5" t="s">
        <v>0</v>
      </c>
      <c r="GH32" s="6"/>
      <c r="GI32" s="89"/>
      <c r="GJ32" s="7">
        <v>3.74</v>
      </c>
      <c r="GK32" s="7">
        <v>7.33</v>
      </c>
      <c r="GL32" s="7">
        <v>10.69</v>
      </c>
      <c r="GM32" s="7">
        <v>13.9</v>
      </c>
      <c r="GN32" s="7">
        <v>16.88</v>
      </c>
      <c r="GO32" s="7">
        <v>19.78</v>
      </c>
      <c r="GP32" s="7">
        <v>22.6</v>
      </c>
      <c r="GQ32" s="7">
        <v>25.28</v>
      </c>
      <c r="GR32" s="113">
        <v>27.91</v>
      </c>
      <c r="GS32" s="7">
        <v>30.55</v>
      </c>
      <c r="GT32" s="7">
        <v>35.51</v>
      </c>
      <c r="GU32" s="7">
        <v>37.88</v>
      </c>
      <c r="GV32" s="7">
        <v>40.24</v>
      </c>
      <c r="GW32" s="113">
        <v>42.53</v>
      </c>
      <c r="GX32" s="113">
        <v>44.83</v>
      </c>
      <c r="GY32" s="113">
        <v>53.61</v>
      </c>
      <c r="GZ32" s="89"/>
      <c r="HA32" s="12">
        <v>5.84</v>
      </c>
      <c r="HB32" s="12">
        <v>10.5</v>
      </c>
      <c r="HC32" s="7">
        <v>12.6</v>
      </c>
      <c r="HD32" s="7">
        <v>14.57</v>
      </c>
      <c r="HE32" s="7">
        <v>16.03</v>
      </c>
      <c r="HF32" s="7">
        <v>17.48</v>
      </c>
      <c r="HG32" s="7">
        <v>18.73</v>
      </c>
      <c r="HH32" s="7">
        <v>19.98</v>
      </c>
      <c r="HI32" s="7">
        <v>20.99</v>
      </c>
      <c r="HJ32" s="7">
        <v>21.98</v>
      </c>
      <c r="HK32" s="7"/>
      <c r="HL32" s="7"/>
      <c r="HN32" s="28"/>
      <c r="HO32" s="7">
        <v>4.9</v>
      </c>
      <c r="HP32" s="7">
        <v>7.53</v>
      </c>
      <c r="HQ32" s="28"/>
      <c r="HR32" s="7">
        <v>1.99</v>
      </c>
      <c r="HS32" s="7">
        <v>3.83</v>
      </c>
      <c r="HT32" s="7">
        <v>8.59</v>
      </c>
      <c r="HU32" s="28"/>
      <c r="HV32" s="46">
        <v>10.68</v>
      </c>
      <c r="HW32" s="46">
        <v>20.54</v>
      </c>
      <c r="HX32" s="28"/>
      <c r="HY32" s="95">
        <v>1.55</v>
      </c>
      <c r="HZ32" s="95">
        <v>3.1</v>
      </c>
      <c r="IA32" s="95">
        <v>4.65</v>
      </c>
      <c r="IB32" s="95">
        <v>6.2</v>
      </c>
      <c r="IC32" s="28"/>
      <c r="ID32" s="89"/>
      <c r="IE32" s="92">
        <f>FX31</f>
        <v>0</v>
      </c>
      <c r="IF32" s="42">
        <f>((FX31*$BQ$27)/$BR$27)</f>
        <v>0</v>
      </c>
      <c r="IG32" s="42" t="e">
        <f>((FX31*$BQ$27)/$BS$27)</f>
        <v>#DIV/0!</v>
      </c>
      <c r="IH32" s="77" t="e">
        <f>((FX31*$BQ$27)/$BT$27)</f>
        <v>#DIV/0!</v>
      </c>
      <c r="II32" s="28"/>
      <c r="IJ32" s="31"/>
    </row>
    <row r="33" spans="1:244" ht="12.75">
      <c r="A33" t="s">
        <v>14</v>
      </c>
      <c r="I33" s="16" t="s">
        <v>26</v>
      </c>
      <c r="L33" s="38"/>
      <c r="M33" s="38"/>
      <c r="N33" s="38"/>
      <c r="O33" s="75"/>
      <c r="P33" s="68"/>
      <c r="Q33" s="68"/>
      <c r="R33" s="58"/>
      <c r="U33" s="8" t="s">
        <v>1</v>
      </c>
      <c r="V33" s="9"/>
      <c r="W33" s="89"/>
      <c r="X33" s="7">
        <v>5.42</v>
      </c>
      <c r="Y33" s="7">
        <v>10.65</v>
      </c>
      <c r="Z33" s="7">
        <v>15.51</v>
      </c>
      <c r="AA33" s="7">
        <v>20.18</v>
      </c>
      <c r="AB33" s="7">
        <v>24.49</v>
      </c>
      <c r="AC33" s="7">
        <v>28.68</v>
      </c>
      <c r="AD33" s="7">
        <v>32.8</v>
      </c>
      <c r="AE33" s="7">
        <v>36.68</v>
      </c>
      <c r="AF33" s="113">
        <v>40.49</v>
      </c>
      <c r="AG33" s="7">
        <v>44.31</v>
      </c>
      <c r="AH33" s="7">
        <v>51.51</v>
      </c>
      <c r="AI33" s="7">
        <v>54.95</v>
      </c>
      <c r="AJ33" s="7">
        <v>58.4</v>
      </c>
      <c r="AK33" s="152">
        <v>61.72</v>
      </c>
      <c r="AL33" s="113">
        <v>65.05</v>
      </c>
      <c r="AM33" s="113">
        <v>77.78</v>
      </c>
      <c r="AN33" s="89"/>
      <c r="AO33" s="7">
        <v>8.45</v>
      </c>
      <c r="AP33" s="7">
        <v>15.22</v>
      </c>
      <c r="AQ33" s="7">
        <v>18.26</v>
      </c>
      <c r="AR33" s="7">
        <v>21.15</v>
      </c>
      <c r="AS33" s="7">
        <v>23.27</v>
      </c>
      <c r="AT33" s="7">
        <v>25.39</v>
      </c>
      <c r="AU33" s="7">
        <v>27.2</v>
      </c>
      <c r="AV33" s="7">
        <v>29</v>
      </c>
      <c r="AW33" s="7">
        <v>30.45</v>
      </c>
      <c r="AX33" s="7">
        <v>31.9</v>
      </c>
      <c r="AY33" s="7"/>
      <c r="AZ33" s="7"/>
      <c r="BB33" s="28"/>
      <c r="BC33" s="7">
        <v>7.21</v>
      </c>
      <c r="BD33" s="7">
        <v>11.9</v>
      </c>
      <c r="BE33" s="28"/>
      <c r="BF33" s="7">
        <v>3.2</v>
      </c>
      <c r="BG33" s="7">
        <v>6.12</v>
      </c>
      <c r="BH33" s="7">
        <v>13.74</v>
      </c>
      <c r="BI33" s="28"/>
      <c r="BJ33" s="46">
        <v>18.07</v>
      </c>
      <c r="BK33" s="46">
        <v>34.76</v>
      </c>
      <c r="BL33" s="28"/>
      <c r="BM33" s="95">
        <v>1.84</v>
      </c>
      <c r="BN33" s="95">
        <v>3.69</v>
      </c>
      <c r="BO33" s="95">
        <v>5.53</v>
      </c>
      <c r="BP33" s="95">
        <v>7.38</v>
      </c>
      <c r="BQ33" s="28"/>
      <c r="BR33" s="185"/>
      <c r="BS33" s="57"/>
      <c r="BT33" s="77"/>
      <c r="BU33" s="28"/>
      <c r="BV33" s="31"/>
      <c r="BX33" s="8" t="s">
        <v>1</v>
      </c>
      <c r="BY33" s="9"/>
      <c r="BZ33" s="89"/>
      <c r="CA33" s="7">
        <v>5.87</v>
      </c>
      <c r="CB33" s="7">
        <v>11.53</v>
      </c>
      <c r="CC33" s="7">
        <v>16.8</v>
      </c>
      <c r="CD33" s="7">
        <v>21.87</v>
      </c>
      <c r="CE33" s="7">
        <v>26.53</v>
      </c>
      <c r="CF33" s="7">
        <v>31.07</v>
      </c>
      <c r="CG33" s="7">
        <v>35.53</v>
      </c>
      <c r="CH33" s="7">
        <v>39.73</v>
      </c>
      <c r="CI33" s="113">
        <v>43.87</v>
      </c>
      <c r="CJ33" s="7">
        <v>48</v>
      </c>
      <c r="CK33" s="7">
        <v>55.8</v>
      </c>
      <c r="CL33" s="7">
        <v>59.53</v>
      </c>
      <c r="CM33" s="7">
        <v>63.27</v>
      </c>
      <c r="CN33" s="152">
        <v>66.87</v>
      </c>
      <c r="CO33" s="113">
        <v>70.47</v>
      </c>
      <c r="CP33" s="113">
        <v>84.27</v>
      </c>
      <c r="CQ33" s="89"/>
      <c r="CR33" s="7">
        <v>9.16</v>
      </c>
      <c r="CS33" s="7">
        <v>16.49</v>
      </c>
      <c r="CT33" s="7">
        <v>19.78</v>
      </c>
      <c r="CU33" s="7">
        <v>22.92</v>
      </c>
      <c r="CV33" s="7">
        <v>25.21</v>
      </c>
      <c r="CW33" s="7">
        <v>27.5</v>
      </c>
      <c r="CX33" s="7">
        <v>29.46</v>
      </c>
      <c r="CY33" s="7">
        <v>31.42</v>
      </c>
      <c r="CZ33" s="7">
        <v>32.99</v>
      </c>
      <c r="DA33" s="7">
        <v>34.56</v>
      </c>
      <c r="DB33" s="7"/>
      <c r="DC33" s="7"/>
      <c r="DE33" s="28"/>
      <c r="DF33" s="7">
        <v>7.81</v>
      </c>
      <c r="DG33" s="7">
        <v>12.9</v>
      </c>
      <c r="DH33" s="28"/>
      <c r="DI33" s="7">
        <v>3.47</v>
      </c>
      <c r="DJ33" s="7">
        <v>6.63</v>
      </c>
      <c r="DK33" s="7">
        <v>14.88</v>
      </c>
      <c r="DL33" s="28"/>
      <c r="DM33" s="46">
        <v>19.58</v>
      </c>
      <c r="DN33" s="46">
        <v>37.66</v>
      </c>
      <c r="DO33" s="28"/>
      <c r="DP33" s="95">
        <v>2</v>
      </c>
      <c r="DQ33" s="95">
        <v>3.99</v>
      </c>
      <c r="DR33" s="95">
        <v>5.99</v>
      </c>
      <c r="DS33" s="95">
        <v>7.99</v>
      </c>
      <c r="DT33" s="28"/>
      <c r="DU33" s="28"/>
      <c r="DV33" s="57"/>
      <c r="DW33" s="57"/>
      <c r="DX33" s="77"/>
      <c r="DY33" s="28"/>
      <c r="DZ33" s="31"/>
      <c r="EB33" s="8" t="s">
        <v>1</v>
      </c>
      <c r="EC33" s="9"/>
      <c r="ED33" s="89"/>
      <c r="EE33" s="7">
        <v>8.82</v>
      </c>
      <c r="EF33" s="7">
        <v>15.72</v>
      </c>
      <c r="EG33" s="7">
        <v>19.17</v>
      </c>
      <c r="EH33" s="7">
        <v>22.54</v>
      </c>
      <c r="EI33" s="7">
        <v>29.7</v>
      </c>
      <c r="EJ33" s="7">
        <v>36.65</v>
      </c>
      <c r="EK33" s="7">
        <v>41.63</v>
      </c>
      <c r="EL33" s="7">
        <v>46.32</v>
      </c>
      <c r="EM33" s="113">
        <v>50.47</v>
      </c>
      <c r="EN33" s="7">
        <v>54.63</v>
      </c>
      <c r="EO33" s="7">
        <v>63.19</v>
      </c>
      <c r="EP33" s="7">
        <v>66.88</v>
      </c>
      <c r="EQ33" s="7">
        <v>70.56</v>
      </c>
      <c r="ER33" s="113">
        <v>74.02</v>
      </c>
      <c r="ES33" s="113">
        <v>77.47</v>
      </c>
      <c r="ET33" s="113">
        <v>89.09</v>
      </c>
      <c r="EU33" s="89"/>
      <c r="EV33" s="7">
        <v>10.49</v>
      </c>
      <c r="EW33" s="7">
        <v>18.89</v>
      </c>
      <c r="EX33" s="7">
        <v>22.65</v>
      </c>
      <c r="EY33" s="7">
        <v>26.25</v>
      </c>
      <c r="EZ33" s="7">
        <v>28.88</v>
      </c>
      <c r="FA33" s="7">
        <v>31.5</v>
      </c>
      <c r="FB33" s="7">
        <v>33.75</v>
      </c>
      <c r="FC33" s="7">
        <v>35.99</v>
      </c>
      <c r="FD33" s="7">
        <v>37.79</v>
      </c>
      <c r="FE33" s="7">
        <v>39.58</v>
      </c>
      <c r="FF33" s="7"/>
      <c r="FG33" s="7"/>
      <c r="FI33" s="28"/>
      <c r="FJ33" s="7">
        <v>8.95</v>
      </c>
      <c r="FK33" s="7">
        <v>14.77</v>
      </c>
      <c r="FL33" s="28"/>
      <c r="FM33" s="7">
        <v>3.98</v>
      </c>
      <c r="FN33" s="7">
        <v>7.6</v>
      </c>
      <c r="FO33" s="7">
        <v>17.04</v>
      </c>
      <c r="FP33" s="28"/>
      <c r="FQ33" s="46">
        <v>21.36</v>
      </c>
      <c r="FR33" s="46">
        <v>41.08</v>
      </c>
      <c r="FS33" s="28"/>
      <c r="FT33" s="95">
        <v>2.18</v>
      </c>
      <c r="FU33" s="95">
        <v>4.36</v>
      </c>
      <c r="FV33" s="95">
        <v>6.54</v>
      </c>
      <c r="FW33" s="95">
        <v>8.72</v>
      </c>
      <c r="FX33" s="28"/>
      <c r="FY33" s="89"/>
      <c r="FZ33" s="28"/>
      <c r="GA33" s="57"/>
      <c r="GB33" s="57"/>
      <c r="GC33" s="77"/>
      <c r="GD33" s="28"/>
      <c r="GE33" s="31"/>
      <c r="GG33" s="8" t="s">
        <v>1</v>
      </c>
      <c r="GH33" s="9"/>
      <c r="GI33" s="89"/>
      <c r="GJ33" s="7">
        <v>6.72</v>
      </c>
      <c r="GK33" s="7">
        <v>13.21</v>
      </c>
      <c r="GL33" s="7">
        <v>19.24</v>
      </c>
      <c r="GM33" s="7">
        <v>25.05</v>
      </c>
      <c r="GN33" s="7">
        <v>30.39</v>
      </c>
      <c r="GO33" s="7">
        <v>35.59</v>
      </c>
      <c r="GP33" s="7">
        <v>40.7</v>
      </c>
      <c r="GQ33" s="7">
        <v>45.51</v>
      </c>
      <c r="GR33" s="113">
        <v>50.25</v>
      </c>
      <c r="GS33" s="7">
        <v>54.98</v>
      </c>
      <c r="GT33" s="7">
        <v>63.92</v>
      </c>
      <c r="GU33" s="7">
        <v>68.19</v>
      </c>
      <c r="GV33" s="7">
        <v>72.47</v>
      </c>
      <c r="GW33" s="113">
        <v>76.59</v>
      </c>
      <c r="GX33" s="113">
        <v>80.72</v>
      </c>
      <c r="GY33" s="113">
        <v>96.52</v>
      </c>
      <c r="GZ33" s="89"/>
      <c r="HA33" s="7">
        <v>10.49</v>
      </c>
      <c r="HB33" s="7">
        <v>18.89</v>
      </c>
      <c r="HC33" s="7">
        <v>22.65</v>
      </c>
      <c r="HD33" s="7">
        <v>26.25</v>
      </c>
      <c r="HE33" s="7">
        <v>28.88</v>
      </c>
      <c r="HF33" s="7">
        <v>31.5</v>
      </c>
      <c r="HG33" s="7">
        <v>33.75</v>
      </c>
      <c r="HH33" s="7">
        <v>35.99</v>
      </c>
      <c r="HI33" s="7">
        <v>37.79</v>
      </c>
      <c r="HJ33" s="7">
        <v>39.58</v>
      </c>
      <c r="HK33" s="7"/>
      <c r="HL33" s="7"/>
      <c r="HN33" s="28"/>
      <c r="HO33" s="7">
        <v>8.95</v>
      </c>
      <c r="HP33" s="7">
        <v>14.77</v>
      </c>
      <c r="HQ33" s="28"/>
      <c r="HR33" s="7">
        <v>3.98</v>
      </c>
      <c r="HS33" s="7">
        <v>7.6</v>
      </c>
      <c r="HT33" s="7">
        <v>17.04</v>
      </c>
      <c r="HU33" s="28"/>
      <c r="HV33" s="46">
        <v>21.36</v>
      </c>
      <c r="HW33" s="46">
        <v>41.08</v>
      </c>
      <c r="HX33" s="28"/>
      <c r="HY33" s="95">
        <v>2.18</v>
      </c>
      <c r="HZ33" s="95">
        <v>4.36</v>
      </c>
      <c r="IA33" s="95">
        <v>6.54</v>
      </c>
      <c r="IB33" s="95">
        <v>8.72</v>
      </c>
      <c r="IC33" s="28"/>
      <c r="ID33" s="89"/>
      <c r="IE33" s="28"/>
      <c r="IF33" s="57"/>
      <c r="IG33" s="57"/>
      <c r="IH33" s="77"/>
      <c r="II33" s="28"/>
      <c r="IJ33" s="31"/>
    </row>
    <row r="34" spans="1:244" ht="12.75">
      <c r="A34" t="s">
        <v>10</v>
      </c>
      <c r="C34" s="173">
        <f>IF($M$9="FL",HLOOKUP($K$15,$X$41:$AM$45,2,TRUE),IF($M$9="CO",HLOOKUP($K$15,$CA$41:$CP$45,2,TRUE),IF($M$9="IN",HLOOKUP($K$15,$CA$41:$CP$45,2,TRUE),IF($M$9="TX",HLOOKUP($K$15,$EE$41:$ET$45,2,TRUE),HLOOKUP($K$15,$GJ$41:$GY$45,2,TRUE)))))</f>
        <v>62.65</v>
      </c>
      <c r="D34" s="173">
        <f>IF($K$16="",0,IF($M$9="FL",HLOOKUP($K$16,$AO$41:$AZ$45,2,TRUE),IF($M$9="CO",HLOOKUP($K$16,$CR$41:$DC$45,2,TRUE),IF($M$9="IN",HLOOKUP($K$16,$CR$41:$DC$45,2,TRUE),IF($M$9="TX",HLOOKUP($K$16,$EV$41:$FG$45,2,TRUE),HLOOKUP($K$16,$HA$41:$HL$45,2,TRUE))))))</f>
        <v>27.82</v>
      </c>
      <c r="E34" s="173">
        <f>IF($K$17="",0,IF($M$9="FL",HLOOKUP($K$17,$BC$41:$BD$45,2,TRUE),IF($M$9="CO",HLOOKUP($K$17,$DF$41:$DG$45,2,TRUE),IF($M$9="IN",HLOOKUP($K$17,$DF$41:$DG$45,2,TRUE),IF($M$9="TX",HLOOKUP($K$17,$FJ$41:$FK$45,2,TRUE),HLOOKUP($K$17,$HO$41:$HP$45,2,TRUE))))))</f>
        <v>0</v>
      </c>
      <c r="F34" s="173">
        <f>IF($K$18="",0,IF($M$9="FL",HLOOKUP($K$18,$BF$41:$BH$45,2,TRUE),IF($M$9="CO",HLOOKUP($K$18,$DI$41:$DK$45,2,TRUE),IF($M$9="IN",HLOOKUP($K$18,$DI$76:$DK$80,2,TRUE),IF($M$9="TX",HLOOKUP($K$18,$FM$41:$FO$45,2,TRUE),HLOOKUP($K$18,$HR$41:$HT$45,2,TRUE))))))</f>
        <v>0</v>
      </c>
      <c r="G34" s="98">
        <f>IF($K$19="",0,IF($M$9="FL",HLOOKUP($K$19,$BJ$31:$BK$35,2,TRUE),IF($M$9="CO",HLOOKUP($K$19,$DM$31:$DN$35,2,TRUE),IF($M$9="IN",HLOOKUP($K$19,$DM$31:$DN$35,2,TRUE),IF($M$9="TX",HLOOKUP($K$19,$FQ$31:$FR$35,2,TRUE),HLOOKUP($K$19,$HV$31:$HW$35,2,TRUE))))))</f>
        <v>0</v>
      </c>
      <c r="H34" s="98">
        <f>IF($K$20="",0,IF($M$9="FL",HLOOKUP($K$20,$BM$31:$BP$35,2,TRUE),IF($M$9="CO",HLOOKUP($K$20,$DP$31:$DS$35,2,TRUE),IF($M$9="IN",HLOOKUP($K$20,$DP$31:$DS$35,2,TRUE),IF($M$9="TX",HLOOKUP($K$20,$FT$31:$FW$35,2,TRUE),HLOOKUP($K$20,$HY$31:$IB$35,2,TRUE))))))</f>
        <v>0</v>
      </c>
      <c r="J34" t="s">
        <v>25</v>
      </c>
      <c r="K34" s="24"/>
      <c r="L34" s="38">
        <f>IF(AND($K$16&lt;=($K$15*0.5),AND($K$16&lt;=2500),OR($K$17=15,$K$17=20,$K$17=""),OR($K$18=100,$K$18=200,$K$18=500,$K$18=""),OR($K$21="GENERIC",$K$21="GENERIC/BRAND",$K$21=""),OR($K$22=5000,$K$22=10000,$K$22=15000,$K$22=20000,$K$22=""),OR($K$46&lt;5000)),(C34+D34+E34+F34+G34+H34),"ERROR")</f>
        <v>90.47</v>
      </c>
      <c r="M34" s="38">
        <f>SUM(L34*K34)</f>
        <v>0</v>
      </c>
      <c r="N34" s="38"/>
      <c r="O34" s="76"/>
      <c r="P34" s="77"/>
      <c r="Q34" s="77">
        <f>(BR36*((100-$L$12)/100))</f>
        <v>45.23499999999999</v>
      </c>
      <c r="R34" s="58"/>
      <c r="U34" s="8" t="s">
        <v>2</v>
      </c>
      <c r="V34" s="9"/>
      <c r="W34" s="89"/>
      <c r="X34" s="7">
        <v>6.83</v>
      </c>
      <c r="Y34" s="7">
        <v>13.35</v>
      </c>
      <c r="Z34" s="7">
        <v>19.45</v>
      </c>
      <c r="AA34" s="7">
        <v>25.29</v>
      </c>
      <c r="AB34" s="7">
        <v>30.71</v>
      </c>
      <c r="AC34" s="7">
        <v>36</v>
      </c>
      <c r="AD34" s="7">
        <v>41.17</v>
      </c>
      <c r="AE34" s="7">
        <v>46.03</v>
      </c>
      <c r="AF34" s="113">
        <v>50.83</v>
      </c>
      <c r="AG34" s="7">
        <v>55.63</v>
      </c>
      <c r="AH34" s="7">
        <v>64.68</v>
      </c>
      <c r="AI34" s="7">
        <v>68.98</v>
      </c>
      <c r="AJ34" s="7">
        <v>73.29</v>
      </c>
      <c r="AK34" s="152">
        <v>77.48</v>
      </c>
      <c r="AL34" s="113">
        <v>81.66</v>
      </c>
      <c r="AM34" s="113">
        <v>97.66</v>
      </c>
      <c r="AN34" s="89"/>
      <c r="AO34" s="7">
        <v>10.16</v>
      </c>
      <c r="AP34" s="7">
        <v>18.31</v>
      </c>
      <c r="AQ34" s="7">
        <v>21.98</v>
      </c>
      <c r="AR34" s="7">
        <v>25.42</v>
      </c>
      <c r="AS34" s="7">
        <v>27.96</v>
      </c>
      <c r="AT34" s="7">
        <v>30.5</v>
      </c>
      <c r="AU34" s="7">
        <v>32.68</v>
      </c>
      <c r="AV34" s="7">
        <v>34.86</v>
      </c>
      <c r="AW34" s="7">
        <v>36.61</v>
      </c>
      <c r="AX34" s="7">
        <v>38.35</v>
      </c>
      <c r="AY34" s="7"/>
      <c r="AZ34" s="7"/>
      <c r="BB34" s="28"/>
      <c r="BC34" s="7">
        <v>8.47</v>
      </c>
      <c r="BD34" s="7">
        <v>15.8</v>
      </c>
      <c r="BE34" s="28"/>
      <c r="BF34" s="7">
        <v>7.84</v>
      </c>
      <c r="BG34" s="7">
        <v>14.94</v>
      </c>
      <c r="BH34" s="7">
        <v>33.37</v>
      </c>
      <c r="BI34" s="28"/>
      <c r="BJ34" s="46">
        <v>13.56</v>
      </c>
      <c r="BK34" s="46">
        <v>26.07</v>
      </c>
      <c r="BL34" s="28"/>
      <c r="BM34" s="95">
        <v>1.69</v>
      </c>
      <c r="BN34" s="95">
        <v>3.38</v>
      </c>
      <c r="BO34" s="95">
        <v>5.08</v>
      </c>
      <c r="BP34" s="95">
        <v>6.77</v>
      </c>
      <c r="BQ34" s="28"/>
      <c r="BR34" s="185"/>
      <c r="BS34" s="57"/>
      <c r="BT34" s="77"/>
      <c r="BU34" s="28"/>
      <c r="BV34" s="31"/>
      <c r="BX34" s="8" t="s">
        <v>2</v>
      </c>
      <c r="BY34" s="9"/>
      <c r="BZ34" s="89"/>
      <c r="CA34" s="7">
        <v>7.4</v>
      </c>
      <c r="CB34" s="7">
        <v>14.47</v>
      </c>
      <c r="CC34" s="7">
        <v>21.07</v>
      </c>
      <c r="CD34" s="7">
        <v>27.4</v>
      </c>
      <c r="CE34" s="7">
        <v>33.27</v>
      </c>
      <c r="CF34" s="7">
        <v>39</v>
      </c>
      <c r="CG34" s="7">
        <v>44.6</v>
      </c>
      <c r="CH34" s="7">
        <v>49.87</v>
      </c>
      <c r="CI34" s="113">
        <v>55.07</v>
      </c>
      <c r="CJ34" s="7">
        <v>60.27</v>
      </c>
      <c r="CK34" s="7">
        <v>70.07</v>
      </c>
      <c r="CL34" s="7">
        <v>74.73</v>
      </c>
      <c r="CM34" s="7">
        <v>79.4</v>
      </c>
      <c r="CN34" s="152">
        <v>83.93</v>
      </c>
      <c r="CO34" s="113">
        <v>88.47</v>
      </c>
      <c r="CP34" s="113">
        <v>105.8</v>
      </c>
      <c r="CQ34" s="89"/>
      <c r="CR34" s="7">
        <v>11.01</v>
      </c>
      <c r="CS34" s="7">
        <v>19.84</v>
      </c>
      <c r="CT34" s="7">
        <v>23.81</v>
      </c>
      <c r="CU34" s="7">
        <v>27.54</v>
      </c>
      <c r="CV34" s="7">
        <v>30.29</v>
      </c>
      <c r="CW34" s="7">
        <v>33.05</v>
      </c>
      <c r="CX34" s="7">
        <v>35.41</v>
      </c>
      <c r="CY34" s="7">
        <v>37.77</v>
      </c>
      <c r="CZ34" s="7">
        <v>39.66</v>
      </c>
      <c r="DA34" s="7">
        <v>41.55</v>
      </c>
      <c r="DB34" s="7"/>
      <c r="DC34" s="7"/>
      <c r="DE34" s="28"/>
      <c r="DF34" s="7">
        <v>9.18</v>
      </c>
      <c r="DG34" s="7">
        <v>17.11</v>
      </c>
      <c r="DH34" s="28"/>
      <c r="DI34" s="7">
        <v>8.49</v>
      </c>
      <c r="DJ34" s="7">
        <v>16.18</v>
      </c>
      <c r="DK34" s="7">
        <v>36.15</v>
      </c>
      <c r="DL34" s="28"/>
      <c r="DM34" s="46">
        <v>14.69</v>
      </c>
      <c r="DN34" s="46">
        <v>28.25</v>
      </c>
      <c r="DO34" s="28"/>
      <c r="DP34" s="95">
        <v>1.83</v>
      </c>
      <c r="DQ34" s="95">
        <v>3.66</v>
      </c>
      <c r="DR34" s="95">
        <v>5.5</v>
      </c>
      <c r="DS34" s="95">
        <v>7.33</v>
      </c>
      <c r="DT34" s="28"/>
      <c r="DU34" s="28"/>
      <c r="DV34" s="57"/>
      <c r="DW34" s="57"/>
      <c r="DX34" s="77"/>
      <c r="DY34" s="28"/>
      <c r="DZ34" s="31"/>
      <c r="EB34" s="8" t="s">
        <v>2</v>
      </c>
      <c r="EC34" s="9"/>
      <c r="ED34" s="89"/>
      <c r="EE34" s="7">
        <v>14.91</v>
      </c>
      <c r="EF34" s="7">
        <v>24.67</v>
      </c>
      <c r="EG34" s="7">
        <v>28.46</v>
      </c>
      <c r="EH34" s="7">
        <v>33.41</v>
      </c>
      <c r="EI34" s="7">
        <v>43.99</v>
      </c>
      <c r="EJ34" s="7">
        <v>54.33</v>
      </c>
      <c r="EK34" s="7">
        <v>61.62</v>
      </c>
      <c r="EL34" s="7">
        <v>68.48</v>
      </c>
      <c r="EM34" s="113">
        <v>74.68</v>
      </c>
      <c r="EN34" s="7">
        <v>80.88</v>
      </c>
      <c r="EO34" s="7">
        <v>94</v>
      </c>
      <c r="EP34" s="7">
        <v>99.43</v>
      </c>
      <c r="EQ34" s="7">
        <v>104.87</v>
      </c>
      <c r="ER34" s="113">
        <v>110.04</v>
      </c>
      <c r="ES34" s="113">
        <v>115.22</v>
      </c>
      <c r="ET34" s="113">
        <v>132.5</v>
      </c>
      <c r="EU34" s="89"/>
      <c r="EV34" s="7">
        <v>12.61</v>
      </c>
      <c r="EW34" s="7">
        <v>22.73</v>
      </c>
      <c r="EX34" s="7">
        <v>27.27</v>
      </c>
      <c r="EY34" s="7">
        <v>31.54</v>
      </c>
      <c r="EZ34" s="7">
        <v>34.7</v>
      </c>
      <c r="FA34" s="7">
        <v>37.85</v>
      </c>
      <c r="FB34" s="7">
        <v>40.56</v>
      </c>
      <c r="FC34" s="7">
        <v>43.26</v>
      </c>
      <c r="FD34" s="7">
        <v>45.43</v>
      </c>
      <c r="FE34" s="7">
        <v>47.59</v>
      </c>
      <c r="FF34" s="7"/>
      <c r="FG34" s="7"/>
      <c r="FI34" s="28"/>
      <c r="FJ34" s="7">
        <v>10.51</v>
      </c>
      <c r="FK34" s="7">
        <v>19.6</v>
      </c>
      <c r="FL34" s="28"/>
      <c r="FM34" s="7">
        <v>9.73</v>
      </c>
      <c r="FN34" s="7">
        <v>18.54</v>
      </c>
      <c r="FO34" s="7">
        <v>41.4</v>
      </c>
      <c r="FP34" s="28"/>
      <c r="FQ34" s="46">
        <v>16.02</v>
      </c>
      <c r="FR34" s="46">
        <v>30.81</v>
      </c>
      <c r="FS34" s="28"/>
      <c r="FT34" s="95">
        <v>2</v>
      </c>
      <c r="FU34" s="95">
        <v>4</v>
      </c>
      <c r="FV34" s="95">
        <v>6</v>
      </c>
      <c r="FW34" s="95">
        <v>8</v>
      </c>
      <c r="FX34" s="28"/>
      <c r="FY34" s="89"/>
      <c r="FZ34" s="28"/>
      <c r="GA34" s="57"/>
      <c r="GB34" s="57"/>
      <c r="GC34" s="77"/>
      <c r="GD34" s="28"/>
      <c r="GE34" s="31"/>
      <c r="GG34" s="8" t="s">
        <v>2</v>
      </c>
      <c r="GH34" s="9"/>
      <c r="GI34" s="89"/>
      <c r="GJ34" s="7">
        <v>8.48</v>
      </c>
      <c r="GK34" s="7">
        <v>16.57</v>
      </c>
      <c r="GL34" s="7">
        <v>24.13</v>
      </c>
      <c r="GM34" s="7">
        <v>31.39</v>
      </c>
      <c r="GN34" s="7">
        <v>38.11</v>
      </c>
      <c r="GO34" s="7">
        <v>44.67</v>
      </c>
      <c r="GP34" s="7">
        <v>51.09</v>
      </c>
      <c r="GQ34" s="7">
        <v>57.12</v>
      </c>
      <c r="GR34" s="113">
        <v>63.08</v>
      </c>
      <c r="GS34" s="7">
        <v>69.03</v>
      </c>
      <c r="GT34" s="7">
        <v>80.26</v>
      </c>
      <c r="GU34" s="7">
        <v>85.6</v>
      </c>
      <c r="GV34" s="7">
        <v>90.95</v>
      </c>
      <c r="GW34" s="113">
        <v>96.14</v>
      </c>
      <c r="GX34" s="113">
        <v>101.33</v>
      </c>
      <c r="GY34" s="113">
        <v>121.19</v>
      </c>
      <c r="GZ34" s="89"/>
      <c r="HA34" s="7">
        <v>12.61</v>
      </c>
      <c r="HB34" s="7">
        <v>22.73</v>
      </c>
      <c r="HC34" s="7">
        <v>27.27</v>
      </c>
      <c r="HD34" s="7">
        <v>31.54</v>
      </c>
      <c r="HE34" s="7">
        <v>34.7</v>
      </c>
      <c r="HF34" s="7">
        <v>37.85</v>
      </c>
      <c r="HG34" s="7">
        <v>40.56</v>
      </c>
      <c r="HH34" s="7">
        <v>43.26</v>
      </c>
      <c r="HI34" s="7">
        <v>45.43</v>
      </c>
      <c r="HJ34" s="7">
        <v>47.59</v>
      </c>
      <c r="HK34" s="7"/>
      <c r="HL34" s="7"/>
      <c r="HN34" s="28"/>
      <c r="HO34" s="7">
        <v>10.51</v>
      </c>
      <c r="HP34" s="7">
        <v>19.6</v>
      </c>
      <c r="HQ34" s="28"/>
      <c r="HR34" s="7">
        <v>9.73</v>
      </c>
      <c r="HS34" s="7">
        <v>18.54</v>
      </c>
      <c r="HT34" s="7">
        <v>41.4</v>
      </c>
      <c r="HU34" s="28"/>
      <c r="HV34" s="46">
        <v>16.02</v>
      </c>
      <c r="HW34" s="46">
        <v>30.81</v>
      </c>
      <c r="HX34" s="28"/>
      <c r="HY34" s="95">
        <v>2</v>
      </c>
      <c r="HZ34" s="95">
        <v>4</v>
      </c>
      <c r="IA34" s="95">
        <v>6</v>
      </c>
      <c r="IB34" s="95">
        <v>8</v>
      </c>
      <c r="IC34" s="28"/>
      <c r="ID34" s="89"/>
      <c r="IE34" s="28"/>
      <c r="IF34" s="57"/>
      <c r="IG34" s="57"/>
      <c r="IH34" s="77"/>
      <c r="II34" s="28"/>
      <c r="IJ34" s="31"/>
    </row>
    <row r="35" spans="1:244" ht="12.75">
      <c r="A35" t="s">
        <v>11</v>
      </c>
      <c r="C35" s="173">
        <f>IF($M$9="FL",HLOOKUP($K$15,$X$41:$AM$45,3,TRUE),IF($M$9="CO",HLOOKUP($K$15,$CA$41:$CP$45,3,TRUE),IF($M$9="IN",HLOOKUP($K$15,$CA$41:$CP$45,3,TRUE),IF($M$9="TX",HLOOKUP($K$15,$EE$41:$ET$45,3,TRUE),HLOOKUP($K$15,$GJ$41:$GY$45,3,TRUE)))))</f>
        <v>112.77</v>
      </c>
      <c r="D35" s="173">
        <f>IF($K$16="",0,IF($M$9="FL",HLOOKUP($K$16,$AO$41:$AZ$45,3,TRUE),IF($M$9="CO",HLOOKUP($K$16,$CR$41:$DC$45,3,TRUE),IF($M$9="IN",HLOOKUP($K$16,$CR$41:$DC$45,3,TRUE),IF($M$9="TX",HLOOKUP($K$16,$EV$41:$FG$45,3,TRUE),HLOOKUP($K$16,$HA$41:$HL$45,3,TRUE))))))</f>
        <v>50.08</v>
      </c>
      <c r="E35" s="173">
        <f>IF($K$17="",0,IF($M$9="FL",HLOOKUP($K$17,$BC$41:$BD$45,3,TRUE),IF($M$9="CO",HLOOKUP($K$17,$DF$41:$DG$45,3,TRUE),IF($M$9="IN",HLOOKUP($K$17,$DF$41:$DG$45,3,TRUE),IF($M$9="TX",HLOOKUP($K$17,$FJ$41:$FK$45,3,TRUE),HLOOKUP($K$17,$HO$41:$HP$45,3,TRUE))))))</f>
        <v>0</v>
      </c>
      <c r="F35" s="173">
        <f>IF($K$18="",0,IF($M$9="FL",HLOOKUP($K$18,$BF$41:$BH$45,3,TRUE),IF($M$9="CO",HLOOKUP($K$18,$DI$41:$DK$45,3,TRUE),IF($M$9="IN",HLOOKUP($K$18,$DI$76:$DK$80,3,TRUE),IF($M$9="TX",HLOOKUP($K$18,$FM$41:$FO$45,3,TRUE),HLOOKUP($K$18,$HR$41:$HT$45,3,TRUE))))))</f>
        <v>0</v>
      </c>
      <c r="G35" s="98">
        <f>IF($K$19="",0,IF($M$9="FL",HLOOKUP($K$19,$BJ$31:$BK$35,3,TRUE),IF($M$9="CO",HLOOKUP($K$19,$DM$31:$DN$35,3,TRUE),IF($M$9="IN",HLOOKUP($K$19,$DM$31:$DN$35,3,TRUE),IF($M$9="TX",HLOOKUP($K$19,$FQ$31:$FR$35,3,TRUE),HLOOKUP($K$19,$HV$31:$HW$35,3,TRUE))))))</f>
        <v>0</v>
      </c>
      <c r="H35" s="98">
        <f>IF($K$20="",0,IF($M$9="FL",HLOOKUP($K$20,$BM$31:$BP$35,3,TRUE),IF($M$9="CO",HLOOKUP($K$20,$DP$31:$DS$35,3,TRUE),IF($M$9="IN",HLOOKUP($K$20,$DP$31:$DS$35,3,TRUE),IF($M$9="TX",HLOOKUP($K$20,$FT$31:$FW$35,3,TRUE),HLOOKUP($K$20,$HY$31:$IB$35,3,TRUE))))))</f>
        <v>0</v>
      </c>
      <c r="J35" t="s">
        <v>53</v>
      </c>
      <c r="K35" s="24"/>
      <c r="L35" s="38">
        <f>IF(AND($K$16&lt;=($K$15*0.5),AND($K$16&lt;=2500),OR($K$17=15,$K$17=20,$K$17=""),OR($K$18=100,$K$18=200,$K$18=500,$K$18=""),OR($K$21="GENERIC",$K$21="GENERIC/BRAND",$K$21=""),OR($K$22=5000,$K$22=10000,$K$22=15000,$K$22=20000,$K$22=""),OR($K$46&lt;5000)),(C35+D35+E35+F35+G35+H35),"ERROR")</f>
        <v>162.85</v>
      </c>
      <c r="M35" s="38">
        <f>SUM(L35*K35)</f>
        <v>0</v>
      </c>
      <c r="N35" s="38"/>
      <c r="O35" s="76"/>
      <c r="P35" s="77"/>
      <c r="Q35" s="77">
        <f>IF($L$13&gt;0,(($BR$36*((100-$L$12)/100))+((BR37-$BR$36)*((100-$L$13)/100))),(($BR$36*((100-$L$12)/100))+((BR37-$BR$36))))</f>
        <v>81.425</v>
      </c>
      <c r="R35" s="58"/>
      <c r="U35" s="10" t="s">
        <v>3</v>
      </c>
      <c r="V35" s="11"/>
      <c r="W35" s="89"/>
      <c r="X35" s="7">
        <v>9.23</v>
      </c>
      <c r="Y35" s="7">
        <v>18.09</v>
      </c>
      <c r="Z35" s="7">
        <v>26.34</v>
      </c>
      <c r="AA35" s="7">
        <v>34.28</v>
      </c>
      <c r="AB35" s="7">
        <v>41.6</v>
      </c>
      <c r="AC35" s="7">
        <v>48.74</v>
      </c>
      <c r="AD35" s="7">
        <v>55.75</v>
      </c>
      <c r="AE35" s="7">
        <v>62.34</v>
      </c>
      <c r="AF35" s="113">
        <v>68.83</v>
      </c>
      <c r="AG35" s="7">
        <v>75.32</v>
      </c>
      <c r="AH35" s="7">
        <v>87.57</v>
      </c>
      <c r="AI35" s="7">
        <v>93.42</v>
      </c>
      <c r="AJ35" s="7">
        <v>99.26</v>
      </c>
      <c r="AK35" s="153">
        <v>104.92</v>
      </c>
      <c r="AL35" s="46">
        <v>110.58</v>
      </c>
      <c r="AM35" s="47">
        <v>132.25</v>
      </c>
      <c r="AN35" s="89"/>
      <c r="AO35" s="7">
        <v>13.91</v>
      </c>
      <c r="AP35" s="7">
        <v>25.07</v>
      </c>
      <c r="AQ35" s="7">
        <v>30.05</v>
      </c>
      <c r="AR35" s="7">
        <v>34.79</v>
      </c>
      <c r="AS35" s="7">
        <v>38.27</v>
      </c>
      <c r="AT35" s="7">
        <v>41.76</v>
      </c>
      <c r="AU35" s="7">
        <v>44.74</v>
      </c>
      <c r="AV35" s="7">
        <v>47.72</v>
      </c>
      <c r="AW35" s="7">
        <v>50.11</v>
      </c>
      <c r="AX35" s="7">
        <v>52.49</v>
      </c>
      <c r="AY35" s="7"/>
      <c r="AZ35" s="7"/>
      <c r="BB35" s="28"/>
      <c r="BC35" s="7">
        <v>10.42</v>
      </c>
      <c r="BD35" s="7">
        <v>19.23</v>
      </c>
      <c r="BE35" s="28"/>
      <c r="BF35" s="7">
        <v>9.04</v>
      </c>
      <c r="BG35" s="7">
        <v>17.23</v>
      </c>
      <c r="BH35" s="7">
        <v>38.52</v>
      </c>
      <c r="BI35" s="28"/>
      <c r="BJ35" s="47">
        <v>23.5</v>
      </c>
      <c r="BK35" s="47">
        <v>43.45</v>
      </c>
      <c r="BL35" s="28"/>
      <c r="BM35" s="95">
        <v>2.44</v>
      </c>
      <c r="BN35" s="95">
        <v>4.87</v>
      </c>
      <c r="BO35" s="95">
        <v>7.31</v>
      </c>
      <c r="BP35" s="95">
        <v>9.75</v>
      </c>
      <c r="BQ35" s="28"/>
      <c r="BR35" s="181"/>
      <c r="BS35" s="28"/>
      <c r="BT35" s="28"/>
      <c r="BU35" s="28"/>
      <c r="BV35" s="31"/>
      <c r="BX35" s="10" t="s">
        <v>3</v>
      </c>
      <c r="BY35" s="11"/>
      <c r="BZ35" s="89"/>
      <c r="CA35" s="7">
        <v>10</v>
      </c>
      <c r="CB35" s="7">
        <v>19.6</v>
      </c>
      <c r="CC35" s="7">
        <v>28.53</v>
      </c>
      <c r="CD35" s="7">
        <v>37.13</v>
      </c>
      <c r="CE35" s="7">
        <v>45.07</v>
      </c>
      <c r="CF35" s="7">
        <v>52.8</v>
      </c>
      <c r="CG35" s="7">
        <v>60.4</v>
      </c>
      <c r="CH35" s="7">
        <v>67.53</v>
      </c>
      <c r="CI35" s="113">
        <v>74.57</v>
      </c>
      <c r="CJ35" s="7">
        <v>81.6</v>
      </c>
      <c r="CK35" s="7">
        <v>94.87</v>
      </c>
      <c r="CL35" s="7">
        <v>101.2</v>
      </c>
      <c r="CM35" s="7">
        <v>107.53</v>
      </c>
      <c r="CN35" s="153">
        <v>113.67</v>
      </c>
      <c r="CO35" s="46">
        <v>119.8</v>
      </c>
      <c r="CP35" s="47">
        <v>143.27</v>
      </c>
      <c r="CQ35" s="89"/>
      <c r="CR35" s="7">
        <v>15.07</v>
      </c>
      <c r="CS35" s="7">
        <v>27.16</v>
      </c>
      <c r="CT35" s="7">
        <v>32.55</v>
      </c>
      <c r="CU35" s="7">
        <v>37.69</v>
      </c>
      <c r="CV35" s="7">
        <v>41.46</v>
      </c>
      <c r="CW35" s="7">
        <v>45.24</v>
      </c>
      <c r="CX35" s="7">
        <v>48.47</v>
      </c>
      <c r="CY35" s="7">
        <v>51.7</v>
      </c>
      <c r="CZ35" s="7">
        <v>54.28</v>
      </c>
      <c r="DA35" s="7">
        <v>56.86</v>
      </c>
      <c r="DB35" s="7"/>
      <c r="DC35" s="7"/>
      <c r="DE35" s="28"/>
      <c r="DF35" s="7">
        <v>11.28</v>
      </c>
      <c r="DG35" s="7">
        <v>20.83</v>
      </c>
      <c r="DH35" s="28"/>
      <c r="DI35" s="7">
        <v>9.8</v>
      </c>
      <c r="DJ35" s="7">
        <v>18.66</v>
      </c>
      <c r="DK35" s="7">
        <v>41.73</v>
      </c>
      <c r="DL35" s="28"/>
      <c r="DM35" s="47">
        <v>25.46</v>
      </c>
      <c r="DN35" s="47">
        <v>47.08</v>
      </c>
      <c r="DO35" s="28"/>
      <c r="DP35" s="95">
        <v>2.64</v>
      </c>
      <c r="DQ35" s="95">
        <v>5.28</v>
      </c>
      <c r="DR35" s="95">
        <v>7.92</v>
      </c>
      <c r="DS35" s="95">
        <v>10.55</v>
      </c>
      <c r="DT35" s="28"/>
      <c r="DU35" s="28"/>
      <c r="DV35" s="28"/>
      <c r="DW35" s="28"/>
      <c r="DX35" s="28"/>
      <c r="DY35" s="28"/>
      <c r="DZ35" s="31"/>
      <c r="EB35" s="10" t="s">
        <v>3</v>
      </c>
      <c r="EC35" s="11"/>
      <c r="ED35" s="89"/>
      <c r="EE35" s="7">
        <v>18.83</v>
      </c>
      <c r="EF35" s="7">
        <v>31.66</v>
      </c>
      <c r="EG35" s="7">
        <v>36.99</v>
      </c>
      <c r="EH35" s="7">
        <v>43.42</v>
      </c>
      <c r="EI35" s="7">
        <v>57.19</v>
      </c>
      <c r="EJ35" s="7">
        <v>70.61</v>
      </c>
      <c r="EK35" s="7">
        <v>80.12</v>
      </c>
      <c r="EL35" s="7">
        <v>89.06</v>
      </c>
      <c r="EM35" s="113">
        <v>97.11</v>
      </c>
      <c r="EN35" s="7">
        <v>105.16</v>
      </c>
      <c r="EO35" s="7">
        <v>122.08</v>
      </c>
      <c r="EP35" s="7">
        <v>129.15</v>
      </c>
      <c r="EQ35" s="7">
        <v>136.23</v>
      </c>
      <c r="ER35" s="46">
        <v>142.94</v>
      </c>
      <c r="ES35" s="46">
        <v>149.65</v>
      </c>
      <c r="ET35" s="47">
        <v>172.1</v>
      </c>
      <c r="EU35" s="89"/>
      <c r="EV35" s="7">
        <v>17.26</v>
      </c>
      <c r="EW35" s="7">
        <v>31.11</v>
      </c>
      <c r="EX35" s="7">
        <v>37.28</v>
      </c>
      <c r="EY35" s="7">
        <v>43.18</v>
      </c>
      <c r="EZ35" s="7">
        <v>47.5</v>
      </c>
      <c r="FA35" s="7">
        <v>51.81</v>
      </c>
      <c r="FB35" s="7">
        <v>55.51</v>
      </c>
      <c r="FC35" s="7">
        <v>59.21</v>
      </c>
      <c r="FD35" s="7">
        <v>62.18</v>
      </c>
      <c r="FE35" s="7">
        <v>65.14</v>
      </c>
      <c r="FF35" s="7"/>
      <c r="FG35" s="7"/>
      <c r="FI35" s="28"/>
      <c r="FJ35" s="7">
        <v>12.93</v>
      </c>
      <c r="FK35" s="7">
        <v>23.86</v>
      </c>
      <c r="FL35" s="28"/>
      <c r="FM35" s="7">
        <v>11.22</v>
      </c>
      <c r="FN35" s="7">
        <v>21.38</v>
      </c>
      <c r="FO35" s="7">
        <v>47.8</v>
      </c>
      <c r="FP35" s="28"/>
      <c r="FQ35" s="47">
        <v>27.77</v>
      </c>
      <c r="FR35" s="47">
        <v>51.35</v>
      </c>
      <c r="FS35" s="28"/>
      <c r="FT35" s="95">
        <v>2.88</v>
      </c>
      <c r="FU35" s="95">
        <v>5.76</v>
      </c>
      <c r="FV35" s="95">
        <v>8.64</v>
      </c>
      <c r="FW35" s="95">
        <v>11.52</v>
      </c>
      <c r="FX35" s="28"/>
      <c r="FY35" s="89"/>
      <c r="FZ35" s="28"/>
      <c r="GA35" s="28"/>
      <c r="GB35" s="28"/>
      <c r="GC35" s="28"/>
      <c r="GD35" s="28"/>
      <c r="GE35" s="31"/>
      <c r="GG35" s="10" t="s">
        <v>3</v>
      </c>
      <c r="GH35" s="11"/>
      <c r="GI35" s="89"/>
      <c r="GJ35" s="7">
        <v>11.45</v>
      </c>
      <c r="GK35" s="7">
        <v>22.45</v>
      </c>
      <c r="GL35" s="7">
        <v>32.68</v>
      </c>
      <c r="GM35" s="7">
        <v>42.53</v>
      </c>
      <c r="GN35" s="7">
        <v>51.62</v>
      </c>
      <c r="GO35" s="7">
        <v>60.48</v>
      </c>
      <c r="GP35" s="7">
        <v>69.19</v>
      </c>
      <c r="GQ35" s="7">
        <v>77.36</v>
      </c>
      <c r="GR35" s="113">
        <v>85.41</v>
      </c>
      <c r="GS35" s="7">
        <v>93.47</v>
      </c>
      <c r="GT35" s="7">
        <v>108.67</v>
      </c>
      <c r="GU35" s="7">
        <v>115.92</v>
      </c>
      <c r="GV35" s="7">
        <v>123.17</v>
      </c>
      <c r="GW35" s="46">
        <v>130.2</v>
      </c>
      <c r="GX35" s="46">
        <v>137.23</v>
      </c>
      <c r="GY35" s="47">
        <v>164.11</v>
      </c>
      <c r="GZ35" s="89"/>
      <c r="HA35" s="7">
        <v>17.26</v>
      </c>
      <c r="HB35" s="7">
        <v>31.11</v>
      </c>
      <c r="HC35" s="7">
        <v>37.28</v>
      </c>
      <c r="HD35" s="7">
        <v>43.18</v>
      </c>
      <c r="HE35" s="7">
        <v>47.5</v>
      </c>
      <c r="HF35" s="7">
        <v>51.81</v>
      </c>
      <c r="HG35" s="7">
        <v>55.51</v>
      </c>
      <c r="HH35" s="7">
        <v>59.21</v>
      </c>
      <c r="HI35" s="7">
        <v>62.18</v>
      </c>
      <c r="HJ35" s="7">
        <v>65.14</v>
      </c>
      <c r="HK35" s="7"/>
      <c r="HL35" s="7"/>
      <c r="HN35" s="28"/>
      <c r="HO35" s="7">
        <v>12.93</v>
      </c>
      <c r="HP35" s="7">
        <v>23.86</v>
      </c>
      <c r="HQ35" s="28"/>
      <c r="HR35" s="7">
        <v>11.22</v>
      </c>
      <c r="HS35" s="7">
        <v>21.38</v>
      </c>
      <c r="HT35" s="7">
        <v>47.8</v>
      </c>
      <c r="HU35" s="28"/>
      <c r="HV35" s="47">
        <v>27.77</v>
      </c>
      <c r="HW35" s="47">
        <v>51.35</v>
      </c>
      <c r="HX35" s="28"/>
      <c r="HY35" s="95">
        <v>2.88</v>
      </c>
      <c r="HZ35" s="95">
        <v>5.76</v>
      </c>
      <c r="IA35" s="95">
        <v>8.64</v>
      </c>
      <c r="IB35" s="95">
        <v>11.52</v>
      </c>
      <c r="IC35" s="28"/>
      <c r="ID35" s="89"/>
      <c r="IE35" s="28"/>
      <c r="IF35" s="28"/>
      <c r="IG35" s="28"/>
      <c r="IH35" s="28"/>
      <c r="II35" s="28"/>
      <c r="IJ35" s="31"/>
    </row>
    <row r="36" spans="1:244" ht="12.75">
      <c r="A36" t="s">
        <v>12</v>
      </c>
      <c r="C36" s="173">
        <f>IF($M$9="FL",HLOOKUP($K$15,$X$41:$AM$45,4,TRUE),IF($M$9="CO",HLOOKUP($K$15,$CA$41:$CP$45,4,TRUE),IF($M$9="IN",HLOOKUP($K$15,$CA$41:$CP$45,4,TRUE),IF($M$9="TX",HLOOKUP($K$15,$EE$41:$ET$45,4,TRUE),HLOOKUP($K$15,$GJ$41:$GY$45,4,TRUE)))))</f>
        <v>135.84</v>
      </c>
      <c r="D36" s="173">
        <f>IF($K$16="",0,IF($M$9="FL",HLOOKUP($K$16,$AO$41:$AZ$45,4,TRUE),IF($M$9="CO",HLOOKUP($K$16,$CR$41:$DC$45,4,TRUE),IF($M$9="IN",HLOOKUP($K$16,$CR$41:$DC$45,4,TRUE),IF($M$9="TX",HLOOKUP($K$16,$EV$41:$FG$45,4,TRUE),HLOOKUP($K$16,$HA$41:$HL$45,4,TRUE))))))</f>
        <v>50.4</v>
      </c>
      <c r="E36" s="173">
        <f>IF($K$17="",0,IF($M$9="FL",HLOOKUP($K$17,$BC$41:$BD$45,4,TRUE),IF($M$9="CO",HLOOKUP($K$17,$DF$41:$DG$45,4,TRUE),IF($M$9="IN",HLOOKUP($K$17,$DF$41:$DG$45,4,TRUE),IF($M$9="TX",HLOOKUP($K$17,$FJ$41:$FK$45,4,TRUE),HLOOKUP($K$17,$HO$41:$HP$45,4,TRUE))))))</f>
        <v>0</v>
      </c>
      <c r="F36" s="173">
        <f>IF($K$18="",0,IF($M$9="FL",HLOOKUP($K$18,$BF$41:$BH$45,4,TRUE),IF($M$9="CO",HLOOKUP($K$18,$DI$41:$DK$45,4,TRUE),IF($M$9="IN",HLOOKUP($K$18,$DI$76:$DK$80,4,TRUE),IF($M$9="TX",HLOOKUP($K$18,$FM$41:$FO$45,4,TRUE),HLOOKUP($K$18,$HR$41:$HT$45,4,TRUE))))))</f>
        <v>0</v>
      </c>
      <c r="G36" s="98">
        <f>IF($K$19="",0,IF($M$9="FL",HLOOKUP($K$19,$BJ$31:$BK$35,4,TRUE),IF($M$9="CO",HLOOKUP($K$19,$DM$31:$DN$35,4,TRUE),IF($M$9="IN",HLOOKUP($K$19,$DM$31:$DN$35,4,TRUE),IF($M$9="TX",HLOOKUP($K$19,$FQ$31:$FR$35,4,TRUE),HLOOKUP($K$19,$HV$31:$HW$35,4,TRUE))))))</f>
        <v>0</v>
      </c>
      <c r="H36" s="98">
        <f>IF($K$20="",0,IF($M$9="FL",HLOOKUP($K$20,$BM$31:$BP$35,4,TRUE),IF($M$9="CO",HLOOKUP($K$20,$DP$31:$DS$35,4,TRUE),IF($M$9="IN",HLOOKUP($K$20,$DP$31:$DS$35,4,TRUE),IF($M$9="TX",HLOOKUP($K$20,$FT$31:$FW$35,4,TRUE),HLOOKUP($K$20,$HY$31:$IB$35,4,TRUE))))))</f>
        <v>0</v>
      </c>
      <c r="J36" t="s">
        <v>55</v>
      </c>
      <c r="K36" s="24"/>
      <c r="L36" s="38">
        <f>IF(AND($K$16&lt;=($K$15*0.5),AND($K$16&lt;=2500),OR($K$17=15,$K$17=20,$K$17=""),OR($K$18=100,$K$18=200,$K$18=500,$K$18=""),OR($K$21="GENERIC",$K$21="GENERIC/BRAND",$K$21=""),OR($K$22=5000,$K$22=10000,$K$22=15000,$K$22=20000,$K$22=""),OR($K$46&lt;5000)),(C36+D36+E36+F36+G36+H36),"ERROR")</f>
        <v>186.24</v>
      </c>
      <c r="M36" s="38">
        <f>SUM(L36*K36)</f>
        <v>0</v>
      </c>
      <c r="N36" s="38"/>
      <c r="O36" s="76"/>
      <c r="P36" s="77"/>
      <c r="Q36" s="77">
        <f>IF($L$13&gt;0,(($BR$36*((100-$L$12)/100))+((BR38-$BR$36)*((100-$L$13)/100))),(($BR$36*((100-$L$12)/100))+((BR38-$BR$36))))</f>
        <v>93.12</v>
      </c>
      <c r="R36" s="58"/>
      <c r="U36" s="88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G36" s="89"/>
      <c r="AH36" s="89"/>
      <c r="AI36" s="89"/>
      <c r="AJ36" s="89"/>
      <c r="AK36" s="89"/>
      <c r="AN36" s="89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B36" s="28"/>
      <c r="BC36" s="89"/>
      <c r="BD36" s="89"/>
      <c r="BE36" s="28"/>
      <c r="BF36" s="89"/>
      <c r="BG36" s="89"/>
      <c r="BH36" s="89"/>
      <c r="BI36" s="28"/>
      <c r="BJ36" s="28"/>
      <c r="BK36" s="28"/>
      <c r="BL36" s="28"/>
      <c r="BM36" s="28"/>
      <c r="BN36" s="28"/>
      <c r="BO36" s="28"/>
      <c r="BP36" s="28"/>
      <c r="BQ36" s="92"/>
      <c r="BR36" s="186">
        <f>((L34*12)/$Q$26)</f>
        <v>45.23499999999999</v>
      </c>
      <c r="BS36" s="42"/>
      <c r="BT36" s="77"/>
      <c r="BU36" s="28"/>
      <c r="BV36" s="31"/>
      <c r="BX36" s="88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J36" s="89"/>
      <c r="CK36" s="89"/>
      <c r="CL36" s="89"/>
      <c r="CM36" s="89"/>
      <c r="CN36" s="89"/>
      <c r="CQ36" s="89"/>
      <c r="CR36" s="95"/>
      <c r="CS36" s="95"/>
      <c r="CT36" s="95"/>
      <c r="CU36" s="95"/>
      <c r="CV36" s="95"/>
      <c r="CW36" s="95"/>
      <c r="CX36" s="95"/>
      <c r="CY36" s="95"/>
      <c r="CZ36" s="95"/>
      <c r="DA36" s="95"/>
      <c r="DB36" s="95"/>
      <c r="DC36" s="95"/>
      <c r="DE36" s="28"/>
      <c r="DF36" s="89"/>
      <c r="DG36" s="89"/>
      <c r="DH36" s="28"/>
      <c r="DI36" s="89"/>
      <c r="DJ36" s="89"/>
      <c r="DK36" s="89"/>
      <c r="DL36" s="28"/>
      <c r="DM36" s="28"/>
      <c r="DN36" s="28"/>
      <c r="DO36" s="28"/>
      <c r="DP36" s="28"/>
      <c r="DQ36" s="28"/>
      <c r="DR36" s="28"/>
      <c r="DS36" s="28"/>
      <c r="DT36" s="28"/>
      <c r="DU36" s="92" t="e">
        <f>#REF!</f>
        <v>#REF!</v>
      </c>
      <c r="DV36" s="42" t="e">
        <f>((#REF!*$BQ$27)/$BR$27)</f>
        <v>#REF!</v>
      </c>
      <c r="DW36" s="42" t="e">
        <f>((#REF!*$BQ$27)/$BS$27)</f>
        <v>#REF!</v>
      </c>
      <c r="DX36" s="77" t="e">
        <f>((#REF!*$BQ$27)/$BT$27)</f>
        <v>#REF!</v>
      </c>
      <c r="DY36" s="28"/>
      <c r="DZ36" s="31"/>
      <c r="EB36" s="88"/>
      <c r="EC36" s="89"/>
      <c r="ED36" s="89"/>
      <c r="EE36" s="89"/>
      <c r="EF36" s="89"/>
      <c r="EG36" s="89"/>
      <c r="EH36" s="89"/>
      <c r="EI36" s="89"/>
      <c r="EJ36" s="89"/>
      <c r="EK36" s="89"/>
      <c r="EL36" s="89"/>
      <c r="EM36" s="174"/>
      <c r="EN36" s="89"/>
      <c r="EO36" s="89"/>
      <c r="EP36" s="89"/>
      <c r="EQ36" s="89"/>
      <c r="ER36" s="99"/>
      <c r="EU36" s="89"/>
      <c r="EV36" s="95"/>
      <c r="EW36" s="95"/>
      <c r="EX36" s="95"/>
      <c r="EY36" s="95"/>
      <c r="EZ36" s="95"/>
      <c r="FA36" s="95"/>
      <c r="FB36" s="95"/>
      <c r="FC36" s="95"/>
      <c r="FD36" s="95"/>
      <c r="FE36" s="95"/>
      <c r="FF36" s="95"/>
      <c r="FG36" s="95"/>
      <c r="FI36" s="28"/>
      <c r="FJ36" s="89"/>
      <c r="FK36" s="89"/>
      <c r="FL36" s="28"/>
      <c r="FM36" s="89"/>
      <c r="FN36" s="89"/>
      <c r="FO36" s="89"/>
      <c r="FP36" s="28"/>
      <c r="FQ36" s="28"/>
      <c r="FR36" s="28"/>
      <c r="FS36" s="28"/>
      <c r="FT36" s="28"/>
      <c r="FU36" s="28"/>
      <c r="FV36" s="28"/>
      <c r="FW36" s="28"/>
      <c r="FX36" s="28"/>
      <c r="FY36" s="89"/>
      <c r="FZ36" s="92">
        <f>DT34</f>
        <v>0</v>
      </c>
      <c r="GA36" s="42">
        <f>((DT34*$BQ$27)/$BR$27)</f>
        <v>0</v>
      </c>
      <c r="GB36" s="42" t="e">
        <f>((DT34*$BQ$27)/$BS$27)</f>
        <v>#DIV/0!</v>
      </c>
      <c r="GC36" s="77" t="e">
        <f>((DT34*$BQ$27)/$BT$27)</f>
        <v>#DIV/0!</v>
      </c>
      <c r="GD36" s="28"/>
      <c r="GE36" s="31"/>
      <c r="GG36" s="88"/>
      <c r="GH36" s="89"/>
      <c r="GI36" s="89"/>
      <c r="GJ36" s="89"/>
      <c r="GK36" s="89"/>
      <c r="GL36" s="89"/>
      <c r="GM36" s="89"/>
      <c r="GN36" s="89"/>
      <c r="GO36" s="89"/>
      <c r="GP36" s="89"/>
      <c r="GQ36" s="89"/>
      <c r="GR36" s="174"/>
      <c r="GS36" s="89"/>
      <c r="GT36" s="89"/>
      <c r="GU36" s="89"/>
      <c r="GV36" s="89"/>
      <c r="GW36" s="99"/>
      <c r="GZ36" s="89"/>
      <c r="HA36" s="95"/>
      <c r="HB36" s="95"/>
      <c r="HC36" s="95"/>
      <c r="HD36" s="95"/>
      <c r="HE36" s="95"/>
      <c r="HF36" s="95"/>
      <c r="HG36" s="95"/>
      <c r="HH36" s="95"/>
      <c r="HI36" s="95"/>
      <c r="HJ36" s="95"/>
      <c r="HK36" s="95"/>
      <c r="HL36" s="95"/>
      <c r="HN36" s="28"/>
      <c r="HO36" s="89"/>
      <c r="HP36" s="89"/>
      <c r="HQ36" s="28"/>
      <c r="HR36" s="89"/>
      <c r="HS36" s="89"/>
      <c r="HT36" s="89"/>
      <c r="HU36" s="28"/>
      <c r="HV36" s="28"/>
      <c r="HW36" s="28"/>
      <c r="HX36" s="28"/>
      <c r="HY36" s="28"/>
      <c r="HZ36" s="28"/>
      <c r="IA36" s="28"/>
      <c r="IB36" s="28"/>
      <c r="IC36" s="28"/>
      <c r="ID36" s="89"/>
      <c r="IE36" s="92">
        <f>FX34</f>
        <v>0</v>
      </c>
      <c r="IF36" s="42">
        <f>((FX34*$BQ$27)/$BR$27)</f>
        <v>0</v>
      </c>
      <c r="IG36" s="42" t="e">
        <f>((FX34*$BQ$27)/$BS$27)</f>
        <v>#DIV/0!</v>
      </c>
      <c r="IH36" s="77" t="e">
        <f>((FX34*$BQ$27)/$BT$27)</f>
        <v>#DIV/0!</v>
      </c>
      <c r="II36" s="28"/>
      <c r="IJ36" s="31"/>
    </row>
    <row r="37" spans="1:244" ht="12.75">
      <c r="A37" t="s">
        <v>13</v>
      </c>
      <c r="C37" s="173">
        <f>IF($M$9="FL",HLOOKUP($K$15,$X$41:$AM$45,5,TRUE),IF($M$9="CO",HLOOKUP($K$15,$CA$41:$CP$45,5,TRUE),IF($M$9="IN",HLOOKUP($K$15,$CA$41:$CP$45,5,TRUE),IF($M$9="TX",HLOOKUP($K$15,$EE$41:$ET$45,5,TRUE),HLOOKUP($K$15,$GJ$41:$GY$45,5,TRUE)))))</f>
        <v>185.96</v>
      </c>
      <c r="D37" s="173">
        <f>IF($K$16="",0,IF($M$9="FL",HLOOKUP($K$16,$AO$41:$AZ$45,5,TRUE),IF($M$9="CO",HLOOKUP($K$16,$CR$41:$DC$45,5,TRUE),IF($M$9="IN",HLOOKUP($K$16,$CR$41:$DC$45,5,TRUE),IF($M$9="TX",HLOOKUP($K$16,$EV$41:$FG$45,5,TRUE),HLOOKUP($K$16,$HA$41:$HL$45,5,TRUE))))))</f>
        <v>72.59</v>
      </c>
      <c r="E37" s="173">
        <f>IF($K$17="",0,IF($M$9="FL",HLOOKUP($K$17,$BC$41:$BD$45,5,TRUE),IF($M$9="CO",HLOOKUP($K$17,$DF$41:$DG$45,5,TRUE),IF($M$9="IN",HLOOKUP($K$17,$DF$41:$DG$45,5,TRUE),IF($M$9="TX",HLOOKUP($K$17,$FJ$41:$FK$45,5,TRUE),HLOOKUP($K$17,$HO$41:$HP$45,5,TRUE))))))</f>
        <v>0</v>
      </c>
      <c r="F37" s="173">
        <f>IF($K$18="",0,IF($M$9="FL",HLOOKUP($K$18,$BF$41:$BH$45,5,TRUE),IF($M$9="CO",HLOOKUP($K$18,$DI$41:$DK$45,5,TRUE),IF($M$9="IN",HLOOKUP($K$18,$DI$76:$DK$80,5,TRUE),IF($M$9="TX",HLOOKUP($K$18,$FM$41:$FO$45,5,TRUE),HLOOKUP($K$18,$HR$41:$HT$45,5,TRUE))))))</f>
        <v>0</v>
      </c>
      <c r="G37" s="98">
        <f>IF($K$19="",0,IF($M$9="FL",HLOOKUP($K$19,$BJ$31:$BK$35,5,TRUE),IF($M$9="CO",HLOOKUP($K$19,$DM$31:$DN$35,5,TRUE),IF($M$9="IN",HLOOKUP($K$19,$DM$31:$DN$35,5,TRUE),IF($M$9="TX",HLOOKUP($K$19,$FQ$31:$FR$35,5,TRUE),HLOOKUP($K$19,$HV$31:$HW$35,5,TRUE))))))</f>
        <v>0</v>
      </c>
      <c r="H37" s="98">
        <f>IF($K$20="",0,IF($M$9="FL",HLOOKUP($K$20,$BM$31:$BP$35,5,TRUE),IF($M$9="CO",HLOOKUP($K$20,$DP$31:$DS$35,5,TRUE),IF($M$9="IN",HLOOKUP($K$20,$DP$31:$DS$35,5,TRUE),IF($M$9="TX",HLOOKUP($K$20,$FT$31:$FW$35,5,TRUE),HLOOKUP($K$20,$HY$31:$IB$35,5,TRUE))))))</f>
        <v>0</v>
      </c>
      <c r="J37" t="s">
        <v>54</v>
      </c>
      <c r="K37" s="24"/>
      <c r="L37" s="38">
        <f>IF(AND($K$16&lt;=($K$15*0.5),AND($K$16&lt;=2500),OR($K$17=15,$K$17=20,$K$17=""),OR($K$18=100,$K$18=200,$K$18=500,$K$18=""),OR($K$21="GENERIC",$K$21="GENERIC/BRAND",$K$21=""),OR($K$22=5000,$K$22=10000,$K$22=15000,$K$22=20000,$K$22=""),OR($K$46&lt;5000)),(C37+D37+E37+F37+G37+H37),"ERROR")</f>
        <v>258.55</v>
      </c>
      <c r="M37" s="38">
        <f>SUM(L37*K37)</f>
        <v>0</v>
      </c>
      <c r="N37" s="38"/>
      <c r="O37" s="76"/>
      <c r="P37" s="77"/>
      <c r="Q37" s="77">
        <f>IF($L$13&gt;0,(($BR$36*((100-$L$12)/100))+((BR39-$BR$36)*((100-$L$13)/100))),(($BR$36*((100-$L$12)/100))+((BR39-$BR$36))))</f>
        <v>129.275</v>
      </c>
      <c r="R37" s="58"/>
      <c r="U37" s="88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G37" s="89"/>
      <c r="AH37" s="89"/>
      <c r="AI37" s="89"/>
      <c r="AJ37" s="89"/>
      <c r="AK37" s="89"/>
      <c r="AN37" s="89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B37" s="28"/>
      <c r="BC37" s="89"/>
      <c r="BD37" s="89"/>
      <c r="BE37" s="28"/>
      <c r="BF37" s="89"/>
      <c r="BG37" s="89"/>
      <c r="BH37" s="89"/>
      <c r="BI37" s="28"/>
      <c r="BJ37" s="28"/>
      <c r="BK37" s="28"/>
      <c r="BL37" s="28"/>
      <c r="BM37" s="28"/>
      <c r="BN37" s="28"/>
      <c r="BO37" s="28"/>
      <c r="BP37" s="28"/>
      <c r="BQ37" s="92"/>
      <c r="BR37" s="186">
        <f>((L35*12)/$Q$26)</f>
        <v>81.425</v>
      </c>
      <c r="BS37" s="42"/>
      <c r="BT37" s="77"/>
      <c r="BU37" s="28"/>
      <c r="BV37" s="31"/>
      <c r="BX37" s="88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J37" s="89"/>
      <c r="CK37" s="89"/>
      <c r="CL37" s="89"/>
      <c r="CM37" s="89"/>
      <c r="CN37" s="89"/>
      <c r="CQ37" s="89"/>
      <c r="CR37" s="95"/>
      <c r="CS37" s="95"/>
      <c r="CT37" s="95"/>
      <c r="CU37" s="95"/>
      <c r="CV37" s="95"/>
      <c r="CW37" s="95"/>
      <c r="CX37" s="95"/>
      <c r="CY37" s="95"/>
      <c r="CZ37" s="95"/>
      <c r="DA37" s="95"/>
      <c r="DB37" s="95"/>
      <c r="DC37" s="95"/>
      <c r="DE37" s="28"/>
      <c r="DF37" s="89"/>
      <c r="DG37" s="89"/>
      <c r="DH37" s="28"/>
      <c r="DI37" s="89"/>
      <c r="DJ37" s="89"/>
      <c r="DK37" s="89"/>
      <c r="DL37" s="28"/>
      <c r="DM37" s="28"/>
      <c r="DN37" s="28"/>
      <c r="DO37" s="28"/>
      <c r="DP37" s="28"/>
      <c r="DQ37" s="28"/>
      <c r="DR37" s="28"/>
      <c r="DS37" s="28"/>
      <c r="DT37" s="28"/>
      <c r="DU37" s="92" t="e">
        <f>#REF!</f>
        <v>#REF!</v>
      </c>
      <c r="DV37" s="42" t="e">
        <f>((#REF!*$BQ$27)/$BR$27)</f>
        <v>#REF!</v>
      </c>
      <c r="DW37" s="42" t="e">
        <f>((#REF!*$BQ$27)/$BS$27)</f>
        <v>#REF!</v>
      </c>
      <c r="DX37" s="77" t="e">
        <f>((#REF!*$BQ$27)/$BT$27)</f>
        <v>#REF!</v>
      </c>
      <c r="DY37" s="28"/>
      <c r="DZ37" s="31"/>
      <c r="EB37" s="88"/>
      <c r="EC37" s="89"/>
      <c r="ED37" s="89"/>
      <c r="EE37" s="89"/>
      <c r="EF37" s="89"/>
      <c r="EG37" s="89"/>
      <c r="EH37" s="89"/>
      <c r="EI37" s="89"/>
      <c r="EJ37" s="89"/>
      <c r="EK37" s="89"/>
      <c r="EL37" s="89"/>
      <c r="EM37" s="174"/>
      <c r="EN37" s="89"/>
      <c r="EO37" s="89"/>
      <c r="EP37" s="89"/>
      <c r="EQ37" s="89"/>
      <c r="ER37" s="99"/>
      <c r="EU37" s="89"/>
      <c r="EV37" s="95"/>
      <c r="EW37" s="95"/>
      <c r="EX37" s="95"/>
      <c r="EY37" s="95"/>
      <c r="EZ37" s="95"/>
      <c r="FA37" s="95"/>
      <c r="FB37" s="95"/>
      <c r="FC37" s="95"/>
      <c r="FD37" s="95"/>
      <c r="FE37" s="95"/>
      <c r="FF37" s="95"/>
      <c r="FG37" s="95"/>
      <c r="FI37" s="28"/>
      <c r="FJ37" s="89"/>
      <c r="FK37" s="89"/>
      <c r="FL37" s="28"/>
      <c r="FM37" s="89"/>
      <c r="FN37" s="89"/>
      <c r="FO37" s="89"/>
      <c r="FP37" s="28"/>
      <c r="FQ37" s="28"/>
      <c r="FR37" s="28"/>
      <c r="FS37" s="28"/>
      <c r="FT37" s="28"/>
      <c r="FU37" s="28"/>
      <c r="FV37" s="28"/>
      <c r="FW37" s="28"/>
      <c r="FX37" s="28"/>
      <c r="FY37" s="89"/>
      <c r="FZ37" s="92">
        <f>DT35</f>
        <v>0</v>
      </c>
      <c r="GA37" s="42">
        <f>((DT35*$BQ$27)/$BR$27)</f>
        <v>0</v>
      </c>
      <c r="GB37" s="42" t="e">
        <f>((DT35*$BQ$27)/$BS$27)</f>
        <v>#DIV/0!</v>
      </c>
      <c r="GC37" s="77" t="e">
        <f>((DT35*$BQ$27)/$BT$27)</f>
        <v>#DIV/0!</v>
      </c>
      <c r="GD37" s="28"/>
      <c r="GE37" s="31"/>
      <c r="GG37" s="88"/>
      <c r="GH37" s="89"/>
      <c r="GI37" s="89"/>
      <c r="GJ37" s="89"/>
      <c r="GK37" s="89"/>
      <c r="GL37" s="89"/>
      <c r="GM37" s="89"/>
      <c r="GN37" s="89"/>
      <c r="GO37" s="89"/>
      <c r="GP37" s="89"/>
      <c r="GQ37" s="89"/>
      <c r="GR37" s="174"/>
      <c r="GS37" s="89"/>
      <c r="GT37" s="89"/>
      <c r="GU37" s="89"/>
      <c r="GV37" s="89"/>
      <c r="GW37" s="99"/>
      <c r="GZ37" s="89"/>
      <c r="HA37" s="95"/>
      <c r="HB37" s="95"/>
      <c r="HC37" s="95"/>
      <c r="HD37" s="95"/>
      <c r="HE37" s="95"/>
      <c r="HF37" s="95"/>
      <c r="HG37" s="95"/>
      <c r="HH37" s="95"/>
      <c r="HI37" s="95"/>
      <c r="HJ37" s="95"/>
      <c r="HK37" s="95"/>
      <c r="HL37" s="95"/>
      <c r="HN37" s="28"/>
      <c r="HO37" s="89"/>
      <c r="HP37" s="89"/>
      <c r="HQ37" s="28"/>
      <c r="HR37" s="89"/>
      <c r="HS37" s="89"/>
      <c r="HT37" s="89"/>
      <c r="HU37" s="28"/>
      <c r="HV37" s="28"/>
      <c r="HW37" s="28"/>
      <c r="HX37" s="28"/>
      <c r="HY37" s="28"/>
      <c r="HZ37" s="28"/>
      <c r="IA37" s="28"/>
      <c r="IB37" s="28"/>
      <c r="IC37" s="28"/>
      <c r="ID37" s="89"/>
      <c r="IE37" s="92">
        <f>FX35</f>
        <v>0</v>
      </c>
      <c r="IF37" s="42">
        <f>((FX35*$BQ$27)/$BR$27)</f>
        <v>0</v>
      </c>
      <c r="IG37" s="42" t="e">
        <f>((FX35*$BQ$27)/$BS$27)</f>
        <v>#DIV/0!</v>
      </c>
      <c r="IH37" s="77" t="e">
        <f>((FX35*$BQ$27)/$BT$27)</f>
        <v>#DIV/0!</v>
      </c>
      <c r="II37" s="28"/>
      <c r="IJ37" s="31"/>
    </row>
    <row r="38" spans="12:244" ht="7.5" customHeight="1">
      <c r="L38" s="38"/>
      <c r="M38" s="38"/>
      <c r="N38" s="38"/>
      <c r="O38" s="75"/>
      <c r="P38" s="68"/>
      <c r="Q38" s="68"/>
      <c r="R38" s="58"/>
      <c r="U38" s="88"/>
      <c r="V38" s="89"/>
      <c r="W38" s="89"/>
      <c r="X38" s="90" t="s">
        <v>6</v>
      </c>
      <c r="Y38" s="91"/>
      <c r="Z38" s="91"/>
      <c r="AA38" s="91"/>
      <c r="AB38" s="91"/>
      <c r="AC38" s="91"/>
      <c r="AD38" s="91"/>
      <c r="AE38" s="91"/>
      <c r="AG38" s="91"/>
      <c r="AH38" s="91"/>
      <c r="AI38" s="91"/>
      <c r="AJ38" s="91"/>
      <c r="AK38" s="91"/>
      <c r="AN38" s="89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B38" s="28"/>
      <c r="BC38" s="89"/>
      <c r="BD38" s="89"/>
      <c r="BE38" s="28"/>
      <c r="BF38" s="89"/>
      <c r="BG38" s="89"/>
      <c r="BH38" s="89"/>
      <c r="BI38" s="28"/>
      <c r="BJ38" s="28"/>
      <c r="BK38" s="28"/>
      <c r="BL38" s="28"/>
      <c r="BM38" s="28"/>
      <c r="BN38" s="28"/>
      <c r="BO38" s="28"/>
      <c r="BP38" s="28"/>
      <c r="BQ38" s="92"/>
      <c r="BR38" s="186">
        <f>((L36*12)/$Q$26)</f>
        <v>93.12</v>
      </c>
      <c r="BS38" s="42"/>
      <c r="BT38" s="77"/>
      <c r="BU38" s="28"/>
      <c r="BV38" s="31"/>
      <c r="BX38" s="88"/>
      <c r="BY38" s="89"/>
      <c r="BZ38" s="89"/>
      <c r="CA38" s="90" t="s">
        <v>6</v>
      </c>
      <c r="CB38" s="91"/>
      <c r="CC38" s="91"/>
      <c r="CD38" s="91"/>
      <c r="CE38" s="91"/>
      <c r="CF38" s="91"/>
      <c r="CG38" s="91"/>
      <c r="CH38" s="91"/>
      <c r="CJ38" s="91"/>
      <c r="CK38" s="91"/>
      <c r="CL38" s="91"/>
      <c r="CM38" s="91"/>
      <c r="CN38" s="91"/>
      <c r="CQ38" s="89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E38" s="28"/>
      <c r="DF38" s="89"/>
      <c r="DG38" s="89"/>
      <c r="DH38" s="28"/>
      <c r="DI38" s="89"/>
      <c r="DJ38" s="89"/>
      <c r="DK38" s="89"/>
      <c r="DL38" s="28"/>
      <c r="DM38" s="28"/>
      <c r="DN38" s="28"/>
      <c r="DO38" s="28"/>
      <c r="DP38" s="28"/>
      <c r="DQ38" s="28"/>
      <c r="DR38" s="28"/>
      <c r="DS38" s="28"/>
      <c r="DT38" s="28"/>
      <c r="DU38" s="92" t="e">
        <f>#REF!</f>
        <v>#REF!</v>
      </c>
      <c r="DV38" s="42" t="e">
        <f>((#REF!*$BQ$27)/$BR$27)</f>
        <v>#REF!</v>
      </c>
      <c r="DW38" s="42" t="e">
        <f>((#REF!*$BQ$27)/$BS$27)</f>
        <v>#REF!</v>
      </c>
      <c r="DX38" s="77" t="e">
        <f>((#REF!*$BQ$27)/$BT$27)</f>
        <v>#REF!</v>
      </c>
      <c r="DY38" s="28"/>
      <c r="DZ38" s="31"/>
      <c r="EB38" s="88"/>
      <c r="EC38" s="89"/>
      <c r="ED38" s="89"/>
      <c r="EE38" s="90" t="s">
        <v>6</v>
      </c>
      <c r="EF38" s="91"/>
      <c r="EG38" s="91"/>
      <c r="EH38" s="91"/>
      <c r="EI38" s="91"/>
      <c r="EJ38" s="91"/>
      <c r="EK38" s="91"/>
      <c r="EL38" s="91"/>
      <c r="EM38" s="174"/>
      <c r="EN38" s="91"/>
      <c r="EO38" s="91"/>
      <c r="EP38" s="91"/>
      <c r="EQ38" s="91"/>
      <c r="ER38" s="178"/>
      <c r="EU38" s="89"/>
      <c r="EV38" s="95"/>
      <c r="EW38" s="95"/>
      <c r="EX38" s="95"/>
      <c r="EY38" s="95"/>
      <c r="EZ38" s="95"/>
      <c r="FA38" s="95"/>
      <c r="FB38" s="95"/>
      <c r="FC38" s="95"/>
      <c r="FD38" s="95"/>
      <c r="FE38" s="95"/>
      <c r="FF38" s="95"/>
      <c r="FG38" s="95"/>
      <c r="FI38" s="28"/>
      <c r="FJ38" s="89"/>
      <c r="FK38" s="89"/>
      <c r="FL38" s="28"/>
      <c r="FM38" s="89"/>
      <c r="FN38" s="89"/>
      <c r="FO38" s="89"/>
      <c r="FP38" s="28"/>
      <c r="FQ38" s="28"/>
      <c r="FR38" s="28"/>
      <c r="FS38" s="28"/>
      <c r="FT38" s="28"/>
      <c r="FU38" s="28"/>
      <c r="FV38" s="28"/>
      <c r="FW38" s="28"/>
      <c r="FX38" s="28"/>
      <c r="FY38" s="89"/>
      <c r="FZ38" s="92">
        <f>DT36</f>
        <v>0</v>
      </c>
      <c r="GA38" s="42">
        <f>((DT36*$BQ$27)/$BR$27)</f>
        <v>0</v>
      </c>
      <c r="GB38" s="42" t="e">
        <f>((DT36*$BQ$27)/$BS$27)</f>
        <v>#DIV/0!</v>
      </c>
      <c r="GC38" s="77" t="e">
        <f>((DT36*$BQ$27)/$BT$27)</f>
        <v>#DIV/0!</v>
      </c>
      <c r="GD38" s="28"/>
      <c r="GE38" s="31"/>
      <c r="GG38" s="88"/>
      <c r="GH38" s="89"/>
      <c r="GI38" s="89"/>
      <c r="GJ38" s="90" t="s">
        <v>6</v>
      </c>
      <c r="GK38" s="91"/>
      <c r="GL38" s="91"/>
      <c r="GM38" s="91"/>
      <c r="GN38" s="91"/>
      <c r="GO38" s="91"/>
      <c r="GP38" s="91"/>
      <c r="GQ38" s="91"/>
      <c r="GR38" s="174"/>
      <c r="GS38" s="91"/>
      <c r="GT38" s="91"/>
      <c r="GU38" s="91"/>
      <c r="GV38" s="91"/>
      <c r="GW38" s="178"/>
      <c r="GZ38" s="89"/>
      <c r="HA38" s="95"/>
      <c r="HB38" s="95"/>
      <c r="HC38" s="95"/>
      <c r="HD38" s="95"/>
      <c r="HE38" s="95"/>
      <c r="HF38" s="95"/>
      <c r="HG38" s="95"/>
      <c r="HH38" s="95"/>
      <c r="HI38" s="95"/>
      <c r="HJ38" s="95"/>
      <c r="HK38" s="95"/>
      <c r="HL38" s="95"/>
      <c r="HN38" s="28"/>
      <c r="HO38" s="89"/>
      <c r="HP38" s="89"/>
      <c r="HQ38" s="28"/>
      <c r="HR38" s="89"/>
      <c r="HS38" s="89"/>
      <c r="HT38" s="89"/>
      <c r="HU38" s="28"/>
      <c r="HV38" s="28"/>
      <c r="HW38" s="28"/>
      <c r="HX38" s="28"/>
      <c r="HY38" s="28"/>
      <c r="HZ38" s="28"/>
      <c r="IA38" s="28"/>
      <c r="IB38" s="28"/>
      <c r="IC38" s="28"/>
      <c r="ID38" s="89"/>
      <c r="IE38" s="92">
        <f>FX36</f>
        <v>0</v>
      </c>
      <c r="IF38" s="42">
        <f>((FX36*$BQ$27)/$BR$27)</f>
        <v>0</v>
      </c>
      <c r="IG38" s="42" t="e">
        <f>((FX36*$BQ$27)/$BS$27)</f>
        <v>#DIV/0!</v>
      </c>
      <c r="IH38" s="77" t="e">
        <f>((FX36*$BQ$27)/$BT$27)</f>
        <v>#DIV/0!</v>
      </c>
      <c r="II38" s="28"/>
      <c r="IJ38" s="31"/>
    </row>
    <row r="39" spans="1:244" ht="12.75">
      <c r="A39" t="s">
        <v>15</v>
      </c>
      <c r="I39" s="16" t="s">
        <v>27</v>
      </c>
      <c r="L39" s="38"/>
      <c r="M39" s="38"/>
      <c r="N39" s="38"/>
      <c r="O39" s="75"/>
      <c r="P39" s="68"/>
      <c r="Q39" s="68"/>
      <c r="R39" s="58"/>
      <c r="U39" s="88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G39" s="89"/>
      <c r="AH39" s="89"/>
      <c r="AI39" s="89"/>
      <c r="AJ39" s="89"/>
      <c r="AK39" s="89"/>
      <c r="AN39" s="89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B39" s="28"/>
      <c r="BC39" s="89"/>
      <c r="BD39" s="89"/>
      <c r="BE39" s="28"/>
      <c r="BF39" s="89"/>
      <c r="BG39" s="89"/>
      <c r="BH39" s="89"/>
      <c r="BI39" s="28"/>
      <c r="BJ39" s="28"/>
      <c r="BK39" s="28"/>
      <c r="BL39" s="28"/>
      <c r="BM39" s="28"/>
      <c r="BN39" s="28"/>
      <c r="BO39" s="28"/>
      <c r="BP39" s="28"/>
      <c r="BQ39" s="92"/>
      <c r="BR39" s="186">
        <f>((L37*12)/$Q$26)</f>
        <v>129.275</v>
      </c>
      <c r="BS39" s="42"/>
      <c r="BT39" s="77"/>
      <c r="BU39" s="28"/>
      <c r="BV39" s="31"/>
      <c r="BX39" s="88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J39" s="89"/>
      <c r="CK39" s="89"/>
      <c r="CL39" s="89"/>
      <c r="CM39" s="89"/>
      <c r="CN39" s="89"/>
      <c r="CQ39" s="89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E39" s="28"/>
      <c r="DF39" s="89"/>
      <c r="DG39" s="89"/>
      <c r="DH39" s="28"/>
      <c r="DI39" s="89"/>
      <c r="DJ39" s="89"/>
      <c r="DK39" s="89"/>
      <c r="DL39" s="28"/>
      <c r="DM39" s="28"/>
      <c r="DN39" s="28"/>
      <c r="DO39" s="28"/>
      <c r="DP39" s="28"/>
      <c r="DQ39" s="28"/>
      <c r="DR39" s="28"/>
      <c r="DS39" s="28"/>
      <c r="DT39" s="28"/>
      <c r="DU39" s="92" t="e">
        <f>#REF!</f>
        <v>#REF!</v>
      </c>
      <c r="DV39" s="42" t="e">
        <f>((#REF!*$BQ$27)/$BR$27)</f>
        <v>#REF!</v>
      </c>
      <c r="DW39" s="42" t="e">
        <f>((#REF!*$BQ$27)/$BS$27)</f>
        <v>#REF!</v>
      </c>
      <c r="DX39" s="77" t="e">
        <f>((#REF!*$BQ$27)/$BT$27)</f>
        <v>#REF!</v>
      </c>
      <c r="DY39" s="28"/>
      <c r="DZ39" s="31"/>
      <c r="EB39" s="88"/>
      <c r="EC39" s="89"/>
      <c r="ED39" s="89"/>
      <c r="EE39" s="89"/>
      <c r="EF39" s="89"/>
      <c r="EG39" s="89"/>
      <c r="EH39" s="89"/>
      <c r="EI39" s="89"/>
      <c r="EJ39" s="89"/>
      <c r="EK39" s="89"/>
      <c r="EL39" s="89"/>
      <c r="EM39" s="174"/>
      <c r="EN39" s="89"/>
      <c r="EO39" s="89"/>
      <c r="EP39" s="89"/>
      <c r="EQ39" s="89"/>
      <c r="ER39" s="99"/>
      <c r="EU39" s="89"/>
      <c r="EV39" s="95"/>
      <c r="EW39" s="95"/>
      <c r="EX39" s="95"/>
      <c r="EY39" s="95"/>
      <c r="EZ39" s="95"/>
      <c r="FA39" s="95"/>
      <c r="FB39" s="95"/>
      <c r="FC39" s="95"/>
      <c r="FD39" s="95"/>
      <c r="FE39" s="95"/>
      <c r="FF39" s="95"/>
      <c r="FG39" s="95"/>
      <c r="FI39" s="28"/>
      <c r="FJ39" s="89"/>
      <c r="FK39" s="89"/>
      <c r="FL39" s="28"/>
      <c r="FM39" s="89"/>
      <c r="FN39" s="89"/>
      <c r="FO39" s="89"/>
      <c r="FP39" s="28"/>
      <c r="FQ39" s="28"/>
      <c r="FR39" s="28"/>
      <c r="FS39" s="28"/>
      <c r="FT39" s="28"/>
      <c r="FU39" s="28"/>
      <c r="FV39" s="28"/>
      <c r="FW39" s="28"/>
      <c r="FX39" s="28"/>
      <c r="FY39" s="89"/>
      <c r="FZ39" s="92">
        <f>DT37</f>
        <v>0</v>
      </c>
      <c r="GA39" s="42">
        <f>((DT37*$BQ$27)/$BR$27)</f>
        <v>0</v>
      </c>
      <c r="GB39" s="42" t="e">
        <f>((DT37*$BQ$27)/$BS$27)</f>
        <v>#DIV/0!</v>
      </c>
      <c r="GC39" s="77" t="e">
        <f>((DT37*$BQ$27)/$BT$27)</f>
        <v>#DIV/0!</v>
      </c>
      <c r="GD39" s="28"/>
      <c r="GE39" s="31"/>
      <c r="GG39" s="88"/>
      <c r="GH39" s="89"/>
      <c r="GI39" s="89"/>
      <c r="GJ39" s="89"/>
      <c r="GK39" s="89"/>
      <c r="GL39" s="89"/>
      <c r="GM39" s="89"/>
      <c r="GN39" s="89"/>
      <c r="GO39" s="89"/>
      <c r="GP39" s="89"/>
      <c r="GQ39" s="89"/>
      <c r="GR39" s="174"/>
      <c r="GS39" s="89"/>
      <c r="GT39" s="89"/>
      <c r="GU39" s="89"/>
      <c r="GV39" s="89"/>
      <c r="GW39" s="99"/>
      <c r="GZ39" s="89"/>
      <c r="HA39" s="95"/>
      <c r="HB39" s="95"/>
      <c r="HC39" s="95"/>
      <c r="HD39" s="95"/>
      <c r="HE39" s="95"/>
      <c r="HF39" s="95"/>
      <c r="HG39" s="95"/>
      <c r="HH39" s="95"/>
      <c r="HI39" s="95"/>
      <c r="HJ39" s="95"/>
      <c r="HK39" s="95"/>
      <c r="HL39" s="95"/>
      <c r="HN39" s="28"/>
      <c r="HO39" s="89"/>
      <c r="HP39" s="89"/>
      <c r="HQ39" s="28"/>
      <c r="HR39" s="89"/>
      <c r="HS39" s="89"/>
      <c r="HT39" s="89"/>
      <c r="HU39" s="28"/>
      <c r="HV39" s="28"/>
      <c r="HW39" s="28"/>
      <c r="HX39" s="28"/>
      <c r="HY39" s="93" t="s">
        <v>61</v>
      </c>
      <c r="HZ39" s="28"/>
      <c r="IB39" s="28"/>
      <c r="IC39" s="28"/>
      <c r="ID39" s="89"/>
      <c r="IE39" s="92">
        <f>FX37</f>
        <v>0</v>
      </c>
      <c r="IF39" s="42">
        <f>((FX37*$BQ$27)/$BR$27)</f>
        <v>0</v>
      </c>
      <c r="IG39" s="42" t="e">
        <f>((FX37*$BQ$27)/$BS$27)</f>
        <v>#DIV/0!</v>
      </c>
      <c r="IH39" s="77" t="e">
        <f>((FX37*$BQ$27)/$BT$27)</f>
        <v>#DIV/0!</v>
      </c>
      <c r="II39" s="28"/>
      <c r="IJ39" s="31"/>
    </row>
    <row r="40" spans="1:244" ht="12.75">
      <c r="A40" t="s">
        <v>10</v>
      </c>
      <c r="C40" s="98">
        <f>IF($M$9="FL",HLOOKUP($K$15,$X$51:$AM$55,2,TRUE),IF($M$9="CO",HLOOKUP($K$15,$CA$51:$CP$55,2,TRUE),IF($M$9="IN",HLOOKUP($K$15,$CA$51:$CP$55,2,TRUE),IF($M$9="TX",HLOOKUP($K$15,$EE$51:$ET$55,2,TRUE),HLOOKUP($K$15,$GJ$51:$GY$55,2,TRUE)))))</f>
        <v>128.7</v>
      </c>
      <c r="D40" s="98">
        <f>IF($K$16="",0,IF($M$9="FL",HLOOKUP($K$16,$AO$51:$AZ$55,2,TRUE),IF($M$9="CO",HLOOKUP($K$16,$CR$51:$DC$55,2,TRUE),IF($M$9="IN",HLOOKUP($K$16,$CR$51:$DC$55,2,TRUE),IF($M$9="TX",HLOOKUP($K$16,$EV$51:$FG$55,2,TRUE),HLOOKUP($K$16,$HA$51:$HL$55,2,TRUE))))))</f>
        <v>57.23</v>
      </c>
      <c r="E40" s="98">
        <f>IF($K$17="",0,IF($M$9="FL",HLOOKUP($K$17,$BC$51:$BD$55,2,TRUE),IF($M$9="CO",HLOOKUP($K$17,$DF$51:$DG$55,2,TRUE),IF($M$9="IN",HLOOKUP($K$17,$DF$51:$DG$55,2,TRUE),IF($M$9="TX",HLOOKUP($K$17,$FJ$51:$FK$55,2,TRUE),HLOOKUP($K$17,$HO$51:$HP$55,2,TRUE))))))</f>
        <v>0</v>
      </c>
      <c r="F40" s="98">
        <f>IF($K$18="",0,IF($M$9="FL",HLOOKUP($K$18,$BF$51:$BH$55,2,TRUE),IF($M$9="CO",HLOOKUP($K$18,$DI$51:$DK$55,2,TRUE),IF($M$9="IN",HLOOKUP($K$18,$DI$86:$DK$90,2,TRUE),IF($M$9="TX",HLOOKUP($K$18,$FM$51:$FO$55,2,TRUE),HLOOKUP($K$18,$HR$51:$HT$55,2,TRUE))))))</f>
        <v>0</v>
      </c>
      <c r="G40" s="98">
        <f>IF($K$19="",0,IF($M$9="FL",HLOOKUP($K$19,$BJ$31:$BK$35,2,TRUE),IF($M$9="CO",HLOOKUP($K$19,$DM$31:$DN$35,2,TRUE),IF($M$9="IN",HLOOKUP($K$19,$DM$31:$DN$35,2,TRUE),IF($M$9="TX",HLOOKUP($K$19,$FQ$31:$FR$35,2,TRUE),HLOOKUP($K$19,$HV$31:$HW$35,2,TRUE))))))</f>
        <v>0</v>
      </c>
      <c r="H40" s="98">
        <f>IF($K$20="",0,IF($M$9="FL",HLOOKUP($K$20,$BM$31:$BP$35,2,TRUE),IF($M$9="CO",HLOOKUP($K$20,$DP$31:$DS$35,2,TRUE),IF($M$9="IN",HLOOKUP($K$20,$DP$31:$DS$35,2,TRUE),IF($M$9="TX",HLOOKUP($K$20,$FT$31:$FW$35,2,TRUE),HLOOKUP($K$20,$HY$31:$IB$35,2,TRUE))))))</f>
        <v>0</v>
      </c>
      <c r="J40" t="s">
        <v>25</v>
      </c>
      <c r="K40" s="24"/>
      <c r="L40" s="38">
        <f>IF(AND($K$16&lt;=($K$15*0.5),AND($K$16&lt;=2500),OR($K$17=15,$K$17=20,$K$17=""),OR($K$18=100,$K$18=200,$K$18=500,$K$18=""),OR($K$21="GENERIC",$K$21="GENERIC/BRAND",$K$21=""),OR($K$22=5000,$K$22=10000,$K$22=15000,$K$22=20000,$K$22=""),($K$46&lt;5000)),(C40+D40+E40+F40+G40+H40),"ERROR")</f>
        <v>185.92999999999998</v>
      </c>
      <c r="M40" s="38">
        <f>SUM(L40*K40)</f>
        <v>0</v>
      </c>
      <c r="N40" s="38"/>
      <c r="O40" s="76"/>
      <c r="P40" s="77"/>
      <c r="Q40" s="77">
        <f>(BR42*((100-$L$12)/100))</f>
        <v>92.96499999999999</v>
      </c>
      <c r="R40" s="58"/>
      <c r="U40" s="27"/>
      <c r="V40" s="28"/>
      <c r="W40" s="89"/>
      <c r="X40" s="3" t="s">
        <v>5</v>
      </c>
      <c r="Y40" s="3"/>
      <c r="Z40" s="3"/>
      <c r="AA40" s="3"/>
      <c r="AB40" s="3"/>
      <c r="AC40" s="3"/>
      <c r="AD40" s="3"/>
      <c r="AE40" s="3"/>
      <c r="AG40" s="3"/>
      <c r="AH40" s="3"/>
      <c r="AI40" s="3"/>
      <c r="AJ40" s="3"/>
      <c r="AK40" s="150"/>
      <c r="AN40" s="89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B40" s="28"/>
      <c r="BC40" s="89"/>
      <c r="BD40" s="89"/>
      <c r="BE40" s="28"/>
      <c r="BF40" s="89"/>
      <c r="BG40" s="89"/>
      <c r="BH40" s="89"/>
      <c r="BI40" s="28"/>
      <c r="BJ40" s="28"/>
      <c r="BK40" s="28"/>
      <c r="BL40" s="28"/>
      <c r="BM40" s="28"/>
      <c r="BN40" s="28"/>
      <c r="BO40" s="28"/>
      <c r="BP40" s="28"/>
      <c r="BQ40" s="28"/>
      <c r="BR40" s="185"/>
      <c r="BS40" s="57"/>
      <c r="BT40" s="77"/>
      <c r="BU40" s="28"/>
      <c r="BV40" s="31"/>
      <c r="BX40" s="27"/>
      <c r="BY40" s="28"/>
      <c r="BZ40" s="89"/>
      <c r="CA40" s="3" t="s">
        <v>5</v>
      </c>
      <c r="CB40" s="3"/>
      <c r="CC40" s="3"/>
      <c r="CD40" s="3"/>
      <c r="CE40" s="3"/>
      <c r="CF40" s="3"/>
      <c r="CG40" s="3"/>
      <c r="CH40" s="3"/>
      <c r="CJ40" s="3"/>
      <c r="CK40" s="3"/>
      <c r="CL40" s="3"/>
      <c r="CM40" s="3"/>
      <c r="CN40" s="150"/>
      <c r="CQ40" s="89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E40" s="28"/>
      <c r="DF40" s="89"/>
      <c r="DG40" s="89"/>
      <c r="DH40" s="28"/>
      <c r="DI40" s="89"/>
      <c r="DJ40" s="89"/>
      <c r="DK40" s="89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57"/>
      <c r="DW40" s="57"/>
      <c r="DX40" s="77"/>
      <c r="DY40" s="28"/>
      <c r="DZ40" s="31"/>
      <c r="EB40" s="27"/>
      <c r="EC40" s="28"/>
      <c r="ED40" s="89"/>
      <c r="EE40" s="3" t="s">
        <v>5</v>
      </c>
      <c r="EF40" s="3"/>
      <c r="EG40" s="3"/>
      <c r="EH40" s="3"/>
      <c r="EI40" s="3"/>
      <c r="EJ40" s="3"/>
      <c r="EK40" s="3"/>
      <c r="EL40" s="3"/>
      <c r="EM40" s="174"/>
      <c r="EN40" s="3"/>
      <c r="EO40" s="3"/>
      <c r="EP40" s="3"/>
      <c r="EQ40" s="3"/>
      <c r="ER40" s="179"/>
      <c r="EU40" s="89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I40" s="28"/>
      <c r="FJ40" s="89"/>
      <c r="FK40" s="89"/>
      <c r="FL40" s="28"/>
      <c r="FM40" s="89"/>
      <c r="FN40" s="89"/>
      <c r="FO40" s="89"/>
      <c r="FP40" s="28"/>
      <c r="FQ40" s="28"/>
      <c r="FR40" s="28"/>
      <c r="FS40" s="28"/>
      <c r="FT40" s="28"/>
      <c r="FU40" s="28"/>
      <c r="FV40" s="28"/>
      <c r="FW40" s="28"/>
      <c r="FX40" s="28"/>
      <c r="FY40" s="89"/>
      <c r="FZ40" s="28"/>
      <c r="GA40" s="57"/>
      <c r="GB40" s="57"/>
      <c r="GC40" s="77"/>
      <c r="GD40" s="28"/>
      <c r="GE40" s="31"/>
      <c r="GG40" s="27"/>
      <c r="GH40" s="28"/>
      <c r="GI40" s="89"/>
      <c r="GJ40" s="3" t="s">
        <v>5</v>
      </c>
      <c r="GK40" s="3"/>
      <c r="GL40" s="3"/>
      <c r="GM40" s="3"/>
      <c r="GN40" s="3"/>
      <c r="GO40" s="3"/>
      <c r="GP40" s="3"/>
      <c r="GQ40" s="3"/>
      <c r="GR40" s="174"/>
      <c r="GS40" s="3"/>
      <c r="GT40" s="3"/>
      <c r="GU40" s="3"/>
      <c r="GV40" s="3"/>
      <c r="GW40" s="179"/>
      <c r="GZ40" s="89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N40" s="28"/>
      <c r="HO40" s="89"/>
      <c r="HP40" s="89"/>
      <c r="HQ40" s="28"/>
      <c r="HR40" s="89"/>
      <c r="HS40" s="89"/>
      <c r="HT40" s="89"/>
      <c r="HU40" s="28"/>
      <c r="HV40" s="28"/>
      <c r="HW40" s="28"/>
      <c r="HX40" s="28"/>
      <c r="HY40" s="89" t="s">
        <v>62</v>
      </c>
      <c r="HZ40" s="87" t="s">
        <v>130</v>
      </c>
      <c r="IB40" s="28"/>
      <c r="IC40" s="28"/>
      <c r="ID40" s="89"/>
      <c r="IE40" s="28"/>
      <c r="IF40" s="57"/>
      <c r="IG40" s="57"/>
      <c r="IH40" s="77"/>
      <c r="II40" s="28"/>
      <c r="IJ40" s="31"/>
    </row>
    <row r="41" spans="1:244" ht="12.75">
      <c r="A41" t="s">
        <v>11</v>
      </c>
      <c r="C41" s="98">
        <f>IF($M$9="FL",HLOOKUP($K$15,$X$51:$AM$55,3,TRUE),IF($M$9="CO",HLOOKUP($K$15,$CA$51:$CP$55,3,TRUE),IF($M$9="IN",HLOOKUP($K$15,$CA$51:$CP$55,3,TRUE),IF($M$9="TX",HLOOKUP($K$15,$EE$51:$ET$55,3,TRUE),HLOOKUP($K$15,$GJ$51:$GY$55,3,TRUE)))))</f>
        <v>231.65</v>
      </c>
      <c r="D41" s="98">
        <f>IF($K$16="",0,IF($M$9="FL",HLOOKUP($K$16,$AO$51:$AZ$55,3,TRUE),IF($M$9="CO",HLOOKUP($K$16,$CR$51:$DC$55,3,TRUE),IF($M$9="IN",HLOOKUP($K$16,$CR$51:$DC$55,3,TRUE),IF($M$9="TX",HLOOKUP($K$16,$EV$51:$FG$55,3,TRUE),HLOOKUP($K$16,$HA$51:$HL$55,3,TRUE))))))</f>
        <v>102.96</v>
      </c>
      <c r="E41" s="98">
        <f>IF($K$17="",0,IF($M$9="FL",HLOOKUP($K$17,$BC$51:$BD$55,3,TRUE),IF($M$9="CO",HLOOKUP($K$17,$DF$51:$DG$55,3,TRUE),IF($M$9="IN",HLOOKUP($K$17,$DF$51:$DG$55,3,TRUE),IF($M$9="TX",HLOOKUP($K$17,$FJ$51:$FK$55,3,TRUE),HLOOKUP($K$17,$HO$51:$HP$55,3,TRUE))))))</f>
        <v>0</v>
      </c>
      <c r="F41" s="98">
        <f>IF($K$18="",0,IF($M$9="FL",HLOOKUP($K$18,$BF$51:$BH$55,3,TRUE),IF($M$9="CO",HLOOKUP($K$18,$DI$51:$DK$55,3,TRUE),IF($M$9="IN",HLOOKUP($K$18,$DI$86:$DK$90,3,TRUE),IF($M$9="TX",HLOOKUP($K$18,$FM$51:$FO$55,3,TRUE),HLOOKUP($K$18,$HR$51:$HT$55,3,TRUE))))))</f>
        <v>0</v>
      </c>
      <c r="G41" s="98">
        <f>IF($K$19="",0,IF($M$9="FL",HLOOKUP($K$19,$BJ$31:$BK$35,3,TRUE),IF($M$9="CO",HLOOKUP($K$19,$DM$31:$DN$35,3,TRUE),IF($M$9="IN",HLOOKUP($K$19,$DM$31:$DN$35,3,TRUE),IF($M$9="TX",HLOOKUP($K$19,$FQ$31:$FR$35,3,TRUE),HLOOKUP($K$19,$HV$31:$HW$35,3,TRUE))))))</f>
        <v>0</v>
      </c>
      <c r="H41" s="98">
        <f>IF($K$20="",0,IF($M$9="FL",HLOOKUP($K$20,$BM$31:$BP$35,3,TRUE),IF($M$9="CO",HLOOKUP($K$20,$DP$31:$DS$35,3,TRUE),IF($M$9="IN",HLOOKUP($K$20,$DP$31:$DS$35,3,TRUE),IF($M$9="TX",HLOOKUP($K$20,$FT$31:$FW$35,3,TRUE),HLOOKUP($K$20,$HY$31:$IB$35,3,TRUE))))))</f>
        <v>0</v>
      </c>
      <c r="J41" t="s">
        <v>53</v>
      </c>
      <c r="K41" s="24"/>
      <c r="L41" s="38">
        <f>IF(AND($K$16&lt;=($K$15*0.5),AND($K$16&lt;=2500),OR($K$17=15,$K$17=20,$K$17=""),OR($K$18=100,$K$18=200,$K$18=500,$K$18=""),OR($K$21="GENERIC",$K$21="GENERIC/BRAND",$K$21=""),OR($K$22=5000,$K$22=10000,$K$22=15000,$K$22=20000,$K$22=""),OR($K$46&lt;5000)),(C41+D41+E41+F41+G41+H41),"ERROR")</f>
        <v>334.61</v>
      </c>
      <c r="M41" s="38">
        <f>SUM(L41*K41)</f>
        <v>0</v>
      </c>
      <c r="N41" s="38"/>
      <c r="O41" s="76"/>
      <c r="P41" s="77"/>
      <c r="Q41" s="77">
        <f>IF($L$13&gt;0,(($BR$42*((100-$L$12)/100))+((BR43-$BR$42)*((100-$L$13)/100))),(($BR$42*((100-$L$12)/100))+((BR43-$BR$42))))</f>
        <v>167.305</v>
      </c>
      <c r="R41" s="58"/>
      <c r="U41" s="27"/>
      <c r="V41" s="28"/>
      <c r="W41" s="89"/>
      <c r="X41" s="4">
        <v>500</v>
      </c>
      <c r="Y41" s="4">
        <v>1000</v>
      </c>
      <c r="Z41" s="4">
        <v>1500</v>
      </c>
      <c r="AA41" s="4">
        <v>2000</v>
      </c>
      <c r="AB41" s="4">
        <v>2500</v>
      </c>
      <c r="AC41" s="4">
        <v>3000</v>
      </c>
      <c r="AD41" s="4">
        <v>3500</v>
      </c>
      <c r="AE41" s="4">
        <v>4000</v>
      </c>
      <c r="AF41" s="112">
        <v>4500</v>
      </c>
      <c r="AG41" s="4">
        <v>5000</v>
      </c>
      <c r="AH41" s="4">
        <v>6000</v>
      </c>
      <c r="AI41" s="4">
        <v>6500</v>
      </c>
      <c r="AJ41" s="4">
        <v>7000</v>
      </c>
      <c r="AK41" s="151">
        <v>7500</v>
      </c>
      <c r="AL41" s="112">
        <v>8000</v>
      </c>
      <c r="AM41" s="114">
        <v>10000</v>
      </c>
      <c r="AN41" s="89"/>
      <c r="AO41" s="4">
        <v>250</v>
      </c>
      <c r="AP41" s="4">
        <v>500</v>
      </c>
      <c r="AQ41" s="4">
        <v>750</v>
      </c>
      <c r="AR41" s="4">
        <v>1000</v>
      </c>
      <c r="AS41" s="4">
        <v>1250</v>
      </c>
      <c r="AT41" s="4">
        <v>1500</v>
      </c>
      <c r="AU41" s="4">
        <v>1750</v>
      </c>
      <c r="AV41" s="4">
        <v>2000</v>
      </c>
      <c r="AW41" s="4">
        <v>2250</v>
      </c>
      <c r="AX41" s="4">
        <v>2500</v>
      </c>
      <c r="AY41" s="4"/>
      <c r="AZ41" s="4"/>
      <c r="BB41" s="28"/>
      <c r="BC41" s="20">
        <v>15</v>
      </c>
      <c r="BD41" s="20">
        <v>20</v>
      </c>
      <c r="BE41" s="28"/>
      <c r="BF41" s="20">
        <v>100</v>
      </c>
      <c r="BG41" s="20">
        <v>200</v>
      </c>
      <c r="BH41" s="20">
        <v>500</v>
      </c>
      <c r="BI41" s="28"/>
      <c r="BJ41" s="28"/>
      <c r="BK41" s="28"/>
      <c r="BL41" s="28"/>
      <c r="BM41" s="28"/>
      <c r="BN41" s="28"/>
      <c r="BO41" s="28"/>
      <c r="BP41" s="28"/>
      <c r="BQ41" s="28"/>
      <c r="BR41" s="185"/>
      <c r="BS41" s="57"/>
      <c r="BT41" s="77"/>
      <c r="BU41" s="28"/>
      <c r="BV41" s="31"/>
      <c r="BX41" s="27"/>
      <c r="BY41" s="28"/>
      <c r="BZ41" s="89"/>
      <c r="CA41" s="4">
        <v>500</v>
      </c>
      <c r="CB41" s="4">
        <v>1000</v>
      </c>
      <c r="CC41" s="4">
        <v>1500</v>
      </c>
      <c r="CD41" s="4">
        <v>2000</v>
      </c>
      <c r="CE41" s="4">
        <v>2500</v>
      </c>
      <c r="CF41" s="4">
        <v>3000</v>
      </c>
      <c r="CG41" s="4">
        <v>3500</v>
      </c>
      <c r="CH41" s="4">
        <v>4000</v>
      </c>
      <c r="CI41" s="112">
        <v>4500</v>
      </c>
      <c r="CJ41" s="4">
        <v>5000</v>
      </c>
      <c r="CK41" s="4">
        <v>6000</v>
      </c>
      <c r="CL41" s="4">
        <v>6500</v>
      </c>
      <c r="CM41" s="4">
        <v>7000</v>
      </c>
      <c r="CN41" s="151">
        <v>7500</v>
      </c>
      <c r="CO41" s="112">
        <v>8000</v>
      </c>
      <c r="CP41" s="112">
        <v>10000</v>
      </c>
      <c r="CQ41" s="89"/>
      <c r="CR41" s="4">
        <v>250</v>
      </c>
      <c r="CS41" s="4">
        <v>500</v>
      </c>
      <c r="CT41" s="4">
        <v>750</v>
      </c>
      <c r="CU41" s="4">
        <v>1000</v>
      </c>
      <c r="CV41" s="4">
        <v>1250</v>
      </c>
      <c r="CW41" s="4">
        <v>1500</v>
      </c>
      <c r="CX41" s="4">
        <v>1750</v>
      </c>
      <c r="CY41" s="4">
        <v>2000</v>
      </c>
      <c r="CZ41" s="4">
        <v>2250</v>
      </c>
      <c r="DA41" s="4">
        <v>2500</v>
      </c>
      <c r="DB41" s="4"/>
      <c r="DC41" s="4"/>
      <c r="DE41" s="28"/>
      <c r="DF41" s="20">
        <v>15</v>
      </c>
      <c r="DG41" s="20">
        <v>20</v>
      </c>
      <c r="DH41" s="28"/>
      <c r="DI41" s="20">
        <v>100</v>
      </c>
      <c r="DJ41" s="20">
        <v>200</v>
      </c>
      <c r="DK41" s="20">
        <v>500</v>
      </c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57"/>
      <c r="DW41" s="57"/>
      <c r="DX41" s="77"/>
      <c r="DY41" s="28"/>
      <c r="DZ41" s="31"/>
      <c r="EB41" s="27"/>
      <c r="EC41" s="28"/>
      <c r="ED41" s="89"/>
      <c r="EE41" s="4">
        <v>500</v>
      </c>
      <c r="EF41" s="4">
        <v>1000</v>
      </c>
      <c r="EG41" s="4">
        <v>1500</v>
      </c>
      <c r="EH41" s="4">
        <v>2000</v>
      </c>
      <c r="EI41" s="4">
        <v>2500</v>
      </c>
      <c r="EJ41" s="4">
        <v>3000</v>
      </c>
      <c r="EK41" s="4">
        <v>3500</v>
      </c>
      <c r="EL41" s="4">
        <v>4000</v>
      </c>
      <c r="EM41" s="112">
        <v>4500</v>
      </c>
      <c r="EN41" s="4">
        <v>5000</v>
      </c>
      <c r="EO41" s="4">
        <v>6000</v>
      </c>
      <c r="EP41" s="4">
        <v>6500</v>
      </c>
      <c r="EQ41" s="4">
        <v>7000</v>
      </c>
      <c r="ER41" s="112">
        <v>7500</v>
      </c>
      <c r="ES41" s="112">
        <v>8000</v>
      </c>
      <c r="ET41" s="114">
        <v>10000</v>
      </c>
      <c r="EU41" s="89"/>
      <c r="EV41" s="4">
        <v>250</v>
      </c>
      <c r="EW41" s="4">
        <v>500</v>
      </c>
      <c r="EX41" s="4">
        <v>750</v>
      </c>
      <c r="EY41" s="4">
        <v>1000</v>
      </c>
      <c r="EZ41" s="4">
        <v>1250</v>
      </c>
      <c r="FA41" s="4">
        <v>1500</v>
      </c>
      <c r="FB41" s="4">
        <v>1750</v>
      </c>
      <c r="FC41" s="4">
        <v>2000</v>
      </c>
      <c r="FD41" s="4">
        <v>2250</v>
      </c>
      <c r="FE41" s="4">
        <v>2500</v>
      </c>
      <c r="FF41" s="4"/>
      <c r="FG41" s="4"/>
      <c r="FI41" s="28"/>
      <c r="FJ41" s="20">
        <v>15</v>
      </c>
      <c r="FK41" s="20">
        <v>20</v>
      </c>
      <c r="FL41" s="28"/>
      <c r="FM41" s="20">
        <v>100</v>
      </c>
      <c r="FN41" s="20">
        <v>200</v>
      </c>
      <c r="FO41" s="20">
        <v>500</v>
      </c>
      <c r="FP41" s="28"/>
      <c r="FQ41" s="28"/>
      <c r="FR41" s="28"/>
      <c r="FS41" s="28"/>
      <c r="FT41" s="28"/>
      <c r="FU41" s="28"/>
      <c r="FV41" s="28"/>
      <c r="FW41" s="28"/>
      <c r="FX41" s="28"/>
      <c r="FY41" s="89"/>
      <c r="FZ41" s="28"/>
      <c r="GA41" s="57"/>
      <c r="GB41" s="57"/>
      <c r="GC41" s="77"/>
      <c r="GD41" s="28"/>
      <c r="GE41" s="31"/>
      <c r="GG41" s="27"/>
      <c r="GH41" s="28"/>
      <c r="GI41" s="89"/>
      <c r="GJ41" s="4">
        <v>500</v>
      </c>
      <c r="GK41" s="4">
        <v>1000</v>
      </c>
      <c r="GL41" s="4">
        <v>1500</v>
      </c>
      <c r="GM41" s="4">
        <v>2000</v>
      </c>
      <c r="GN41" s="4">
        <v>2500</v>
      </c>
      <c r="GO41" s="4">
        <v>3000</v>
      </c>
      <c r="GP41" s="4">
        <v>3500</v>
      </c>
      <c r="GQ41" s="4">
        <v>4000</v>
      </c>
      <c r="GR41" s="112">
        <v>4500</v>
      </c>
      <c r="GS41" s="4">
        <v>5000</v>
      </c>
      <c r="GT41" s="4">
        <v>6000</v>
      </c>
      <c r="GU41" s="4">
        <v>6500</v>
      </c>
      <c r="GV41" s="4">
        <v>7000</v>
      </c>
      <c r="GW41" s="112">
        <v>7500</v>
      </c>
      <c r="GX41" s="112">
        <v>8000</v>
      </c>
      <c r="GY41" s="114">
        <v>10000</v>
      </c>
      <c r="GZ41" s="89"/>
      <c r="HA41" s="4">
        <v>250</v>
      </c>
      <c r="HB41" s="4">
        <v>500</v>
      </c>
      <c r="HC41" s="4">
        <v>750</v>
      </c>
      <c r="HD41" s="4">
        <v>1000</v>
      </c>
      <c r="HE41" s="4">
        <v>1250</v>
      </c>
      <c r="HF41" s="4">
        <v>1500</v>
      </c>
      <c r="HG41" s="4">
        <v>1750</v>
      </c>
      <c r="HH41" s="4">
        <v>2000</v>
      </c>
      <c r="HI41" s="4">
        <v>2250</v>
      </c>
      <c r="HJ41" s="4">
        <v>2500</v>
      </c>
      <c r="HK41" s="4"/>
      <c r="HL41" s="4"/>
      <c r="HN41" s="28"/>
      <c r="HO41" s="20">
        <v>15</v>
      </c>
      <c r="HP41" s="20">
        <v>20</v>
      </c>
      <c r="HQ41" s="28"/>
      <c r="HR41" s="20">
        <v>100</v>
      </c>
      <c r="HS41" s="20">
        <v>200</v>
      </c>
      <c r="HT41" s="20">
        <v>500</v>
      </c>
      <c r="HU41" s="28"/>
      <c r="HV41" s="28"/>
      <c r="HW41" s="28"/>
      <c r="HX41" s="28"/>
      <c r="HY41" s="2" t="s">
        <v>89</v>
      </c>
      <c r="HZ41" s="17" t="s">
        <v>130</v>
      </c>
      <c r="IB41" s="28"/>
      <c r="IC41" s="28"/>
      <c r="ID41" s="89"/>
      <c r="IE41" s="28"/>
      <c r="IF41" s="57"/>
      <c r="IG41" s="57"/>
      <c r="IH41" s="77"/>
      <c r="II41" s="28"/>
      <c r="IJ41" s="31"/>
    </row>
    <row r="42" spans="1:244" ht="12.75">
      <c r="A42" t="s">
        <v>12</v>
      </c>
      <c r="C42" s="98">
        <f>IF($M$9="FL",HLOOKUP($K$15,$X$51:$AM$55,4,TRUE),IF($M$9="CO",HLOOKUP($K$15,$CA$51:$CP$55,4,TRUE),IF($M$9="IN",HLOOKUP($K$15,$CA$51:$CP$55,4,TRUE),IF($M$9="TX",HLOOKUP($K$15,$EE$51:$ET$55,4,TRUE),HLOOKUP($K$15,$GJ$51:$GY$55,4,TRUE)))))</f>
        <v>240.27</v>
      </c>
      <c r="D42" s="98">
        <f>IF($K$16="",0,IF($M$9="FL",HLOOKUP($K$16,$AO$51:$AZ$55,4,TRUE),IF($M$9="CO",HLOOKUP($K$16,$CR$51:$DC$55,4,TRUE),IF($M$9="IN",HLOOKUP($K$16,$CR$51:$DC$55,4,TRUE),IF($M$9="TX",HLOOKUP($K$16,$EV$51:$FG$55,4,TRUE),HLOOKUP($K$16,$HA$51:$HL$55,4,TRUE))))))</f>
        <v>91.62</v>
      </c>
      <c r="E42" s="98">
        <f>IF($K$17="",0,IF($M$9="FL",HLOOKUP($K$17,$BC$51:$BD$55,4,TRUE),IF($M$9="CO",HLOOKUP($K$17,$DF$51:$DG$55,4,TRUE),IF($M$9="IN",HLOOKUP($K$17,$DF$51:$DG$55,4,TRUE),IF($M$9="TX",HLOOKUP($K$17,$FJ$51:$FK$55,4,TRUE),HLOOKUP($K$17,$HO$51:$HP$55,4,TRUE))))))</f>
        <v>0</v>
      </c>
      <c r="F42" s="98">
        <f>IF($K$18="",0,IF($M$9="FL",HLOOKUP($K$18,$BF$51:$BH$55,4,TRUE),IF($M$9="CO",HLOOKUP($K$18,$DI$51:$DK$55,4,TRUE),IF($M$9="IN",HLOOKUP($K$18,$DI$86:$DK$90,4,TRUE),IF($M$9="TX",HLOOKUP($K$18,$FM$51:$FO$55,4,TRUE),HLOOKUP($K$18,$HR$51:$HT$55,4,TRUE))))))</f>
        <v>0</v>
      </c>
      <c r="G42" s="98">
        <f>IF($K$19="",0,IF($M$9="FL",HLOOKUP($K$19,$BJ$31:$BK$35,4,TRUE),IF($M$9="CO",HLOOKUP($K$19,$DM$31:$DN$35,4,TRUE),IF($M$9="IN",HLOOKUP($K$19,$DM$31:$DN$35,2,TRUE),IF($M$9="TX",HLOOKUP($K$19,$FQ$31:$FR$35,4,TRUE),HLOOKUP($K$19,$HV$31:$HW$35,4,TRUE))))))</f>
        <v>0</v>
      </c>
      <c r="H42" s="98">
        <f>IF($K$20="",0,IF($M$9="FL",HLOOKUP($K$20,$BM$31:$BP$35,4,TRUE),IF($M$9="CO",HLOOKUP($K$20,$DP$31:$DS$35,4,TRUE),IF($M$9="IN",HLOOKUP($K$20,$DP$31:$DS$35,4,TRUE),IF($M$9="TX",HLOOKUP($K$20,$FT$31:$FW$35,4,TRUE),HLOOKUP($K$20,$HY$31:$IB$35,4,TRUE))))))</f>
        <v>0</v>
      </c>
      <c r="J42" t="s">
        <v>55</v>
      </c>
      <c r="K42" s="24"/>
      <c r="L42" s="38">
        <f>IF(AND($K$16&lt;=($K$15*0.5),AND($K$16&lt;=2500),OR($K$17=15,$K$17=20,$K$17=""),OR($K$18=100,$K$18=200,$K$18=500,$K$18=""),OR($K$21="GENERIC",$K$21="GENERIC/BRAND",$K$21=""),OR($K$22=5000,$K$22=10000,$K$22=15000,$K$22=20000,$K$22=""),OR($K$46&lt;5000)),(C42+D42+E42+F42+G42+H42),"ERROR")</f>
        <v>331.89</v>
      </c>
      <c r="M42" s="38">
        <f>SUM(L42*K42)</f>
        <v>0</v>
      </c>
      <c r="N42" s="38"/>
      <c r="O42" s="76"/>
      <c r="P42" s="77"/>
      <c r="Q42" s="77">
        <f>IF($L$13&gt;0,(($BR$42*((100-$L$12)/100))+((BR44-$BR$42)*((100-$L$13)/100))),(($BR$42*((100-$L$12)/100))+((BR44-$BR$42))))</f>
        <v>165.945</v>
      </c>
      <c r="R42" s="58"/>
      <c r="U42" s="5" t="s">
        <v>0</v>
      </c>
      <c r="V42" s="6"/>
      <c r="W42" s="89"/>
      <c r="X42" s="7">
        <v>4.37</v>
      </c>
      <c r="Y42" s="7">
        <v>8.55</v>
      </c>
      <c r="Z42" s="7">
        <v>12.49</v>
      </c>
      <c r="AA42" s="7">
        <v>16.25</v>
      </c>
      <c r="AB42" s="7">
        <v>19.69</v>
      </c>
      <c r="AC42" s="7">
        <v>23.14</v>
      </c>
      <c r="AD42" s="7">
        <v>26.4</v>
      </c>
      <c r="AE42" s="7">
        <v>29.54</v>
      </c>
      <c r="AF42" s="113">
        <v>32.62</v>
      </c>
      <c r="AG42" s="7">
        <v>35.69</v>
      </c>
      <c r="AH42" s="7">
        <v>41.48</v>
      </c>
      <c r="AI42" s="7">
        <v>44.25</v>
      </c>
      <c r="AJ42" s="7">
        <v>47.02</v>
      </c>
      <c r="AK42" s="152">
        <v>49.69</v>
      </c>
      <c r="AL42" s="113">
        <v>52.37</v>
      </c>
      <c r="AM42" s="113">
        <v>62.65</v>
      </c>
      <c r="AN42" s="89"/>
      <c r="AO42" s="7">
        <v>5.96</v>
      </c>
      <c r="AP42" s="7">
        <v>10.71</v>
      </c>
      <c r="AQ42" s="7">
        <v>12.85</v>
      </c>
      <c r="AR42" s="7">
        <v>14.87</v>
      </c>
      <c r="AS42" s="7">
        <v>16.35</v>
      </c>
      <c r="AT42" s="7">
        <v>17.84</v>
      </c>
      <c r="AU42" s="7">
        <v>19.11</v>
      </c>
      <c r="AV42" s="7">
        <v>20.39</v>
      </c>
      <c r="AW42" s="7">
        <v>21.41</v>
      </c>
      <c r="AX42" s="7">
        <v>22.42</v>
      </c>
      <c r="AY42" s="7"/>
      <c r="AZ42" s="7"/>
      <c r="BB42" s="28"/>
      <c r="BC42" s="7">
        <v>5</v>
      </c>
      <c r="BD42" s="7">
        <v>7.67</v>
      </c>
      <c r="BE42" s="28"/>
      <c r="BF42" s="7">
        <v>2.07</v>
      </c>
      <c r="BG42" s="7">
        <v>3.89</v>
      </c>
      <c r="BH42" s="7">
        <v>8.73</v>
      </c>
      <c r="BI42" s="28"/>
      <c r="BJ42" s="28"/>
      <c r="BK42" s="28"/>
      <c r="BL42" s="28"/>
      <c r="BM42" s="28"/>
      <c r="BN42" s="28"/>
      <c r="BO42" s="28"/>
      <c r="BP42" s="28"/>
      <c r="BQ42" s="92"/>
      <c r="BR42" s="186">
        <f>((L40*12)/$Q$26)</f>
        <v>92.96499999999999</v>
      </c>
      <c r="BS42" s="42"/>
      <c r="BT42" s="77"/>
      <c r="BU42" s="28"/>
      <c r="BV42" s="31"/>
      <c r="BX42" s="5" t="s">
        <v>0</v>
      </c>
      <c r="BY42" s="6"/>
      <c r="BZ42" s="89"/>
      <c r="CA42" s="7">
        <v>4.73</v>
      </c>
      <c r="CB42" s="7">
        <v>9.27</v>
      </c>
      <c r="CC42" s="7">
        <v>13.53</v>
      </c>
      <c r="CD42" s="7">
        <v>17.6</v>
      </c>
      <c r="CE42" s="7">
        <v>21.33</v>
      </c>
      <c r="CF42" s="7">
        <v>25.07</v>
      </c>
      <c r="CG42" s="7">
        <v>28.6</v>
      </c>
      <c r="CH42" s="7">
        <v>32</v>
      </c>
      <c r="CI42" s="113">
        <v>35.33</v>
      </c>
      <c r="CJ42" s="7">
        <v>38.67</v>
      </c>
      <c r="CK42" s="7">
        <v>44.93</v>
      </c>
      <c r="CL42" s="7">
        <v>47.93</v>
      </c>
      <c r="CM42" s="7">
        <v>50.93</v>
      </c>
      <c r="CN42" s="152">
        <v>53.83</v>
      </c>
      <c r="CO42" s="113">
        <v>56.73</v>
      </c>
      <c r="CP42" s="113">
        <v>67.87</v>
      </c>
      <c r="CQ42" s="89"/>
      <c r="CR42" s="7">
        <v>6.45</v>
      </c>
      <c r="CS42" s="7">
        <v>11.61</v>
      </c>
      <c r="CT42" s="7">
        <v>13.92</v>
      </c>
      <c r="CU42" s="7">
        <v>16.1</v>
      </c>
      <c r="CV42" s="7">
        <v>17.72</v>
      </c>
      <c r="CW42" s="7">
        <v>19.33</v>
      </c>
      <c r="CX42" s="7">
        <v>20.71</v>
      </c>
      <c r="CY42" s="7">
        <v>22.09</v>
      </c>
      <c r="CZ42" s="7">
        <v>23.19</v>
      </c>
      <c r="DA42" s="7">
        <v>24.29</v>
      </c>
      <c r="DB42" s="7"/>
      <c r="DC42" s="7"/>
      <c r="DE42" s="28"/>
      <c r="DF42" s="7">
        <v>5.41</v>
      </c>
      <c r="DG42" s="7">
        <v>8.31</v>
      </c>
      <c r="DH42" s="28"/>
      <c r="DI42" s="7">
        <v>2.24</v>
      </c>
      <c r="DJ42" s="7">
        <v>4.21</v>
      </c>
      <c r="DK42" s="7">
        <v>9.46</v>
      </c>
      <c r="DL42" s="28"/>
      <c r="DM42" s="28"/>
      <c r="DN42" s="28"/>
      <c r="DO42" s="28"/>
      <c r="DP42" s="28"/>
      <c r="DQ42" s="28"/>
      <c r="DR42" s="28"/>
      <c r="DS42" s="28"/>
      <c r="DT42" s="28"/>
      <c r="DU42" s="92" t="e">
        <f>#REF!</f>
        <v>#REF!</v>
      </c>
      <c r="DV42" s="42" t="e">
        <f>((#REF!*$BQ$27)/$BR$27)</f>
        <v>#REF!</v>
      </c>
      <c r="DW42" s="42" t="e">
        <f>((#REF!*$BQ$27)/$BS$27)</f>
        <v>#REF!</v>
      </c>
      <c r="DX42" s="77" t="e">
        <f>((#REF!*$BQ$27)/$BT$27)</f>
        <v>#REF!</v>
      </c>
      <c r="DY42" s="28"/>
      <c r="DZ42" s="31"/>
      <c r="EB42" s="5" t="s">
        <v>0</v>
      </c>
      <c r="EC42" s="6"/>
      <c r="ED42" s="89"/>
      <c r="EE42" s="7">
        <v>6.31</v>
      </c>
      <c r="EF42" s="7">
        <v>11.12</v>
      </c>
      <c r="EG42" s="7">
        <v>14.2</v>
      </c>
      <c r="EH42" s="7">
        <v>15.85</v>
      </c>
      <c r="EI42" s="7">
        <v>20.81</v>
      </c>
      <c r="EJ42" s="7">
        <v>25.77</v>
      </c>
      <c r="EK42" s="7">
        <v>29.22</v>
      </c>
      <c r="EL42" s="7">
        <v>32.54</v>
      </c>
      <c r="EM42" s="113">
        <v>35.5</v>
      </c>
      <c r="EN42" s="7">
        <v>38.47</v>
      </c>
      <c r="EO42" s="7">
        <v>44.41</v>
      </c>
      <c r="EP42" s="7">
        <v>47</v>
      </c>
      <c r="EQ42" s="7">
        <v>49.59</v>
      </c>
      <c r="ER42" s="113">
        <v>52.04</v>
      </c>
      <c r="ES42" s="113">
        <v>54.48</v>
      </c>
      <c r="ET42" s="113">
        <v>62.65</v>
      </c>
      <c r="EU42" s="89"/>
      <c r="EV42" s="7">
        <v>7.39</v>
      </c>
      <c r="EW42" s="7">
        <v>13.29</v>
      </c>
      <c r="EX42" s="7">
        <v>15.95</v>
      </c>
      <c r="EY42" s="7">
        <v>18.45</v>
      </c>
      <c r="EZ42" s="7">
        <v>20.29</v>
      </c>
      <c r="FA42" s="7">
        <v>22.14</v>
      </c>
      <c r="FB42" s="7">
        <v>23.72</v>
      </c>
      <c r="FC42" s="7">
        <v>25.3</v>
      </c>
      <c r="FD42" s="7">
        <v>26.56</v>
      </c>
      <c r="FE42" s="7">
        <v>27.82</v>
      </c>
      <c r="FF42" s="7"/>
      <c r="FG42" s="7"/>
      <c r="FI42" s="28"/>
      <c r="FJ42" s="7">
        <v>6.2</v>
      </c>
      <c r="FK42" s="7">
        <v>9.52</v>
      </c>
      <c r="FL42" s="28"/>
      <c r="FM42" s="7">
        <v>2.57</v>
      </c>
      <c r="FN42" s="7">
        <v>4.82</v>
      </c>
      <c r="FO42" s="7">
        <v>10.83</v>
      </c>
      <c r="FP42" s="28"/>
      <c r="FQ42" s="28"/>
      <c r="FR42" s="28"/>
      <c r="FS42" s="28"/>
      <c r="FT42" s="28"/>
      <c r="FU42" s="28"/>
      <c r="FV42" s="28"/>
      <c r="FW42" s="28"/>
      <c r="FX42" s="28"/>
      <c r="FY42" s="89"/>
      <c r="FZ42" s="92">
        <f>DT40</f>
        <v>0</v>
      </c>
      <c r="GA42" s="42">
        <f>((DT40*$BQ$27)/$BR$27)</f>
        <v>0</v>
      </c>
      <c r="GB42" s="42" t="e">
        <f>((DT40*$BQ$27)/$BS$27)</f>
        <v>#DIV/0!</v>
      </c>
      <c r="GC42" s="77" t="e">
        <f>((DT40*$BQ$27)/$BT$27)</f>
        <v>#DIV/0!</v>
      </c>
      <c r="GD42" s="28"/>
      <c r="GE42" s="31"/>
      <c r="GG42" s="5" t="s">
        <v>0</v>
      </c>
      <c r="GH42" s="6"/>
      <c r="GI42" s="89"/>
      <c r="GJ42" s="7">
        <v>5.42</v>
      </c>
      <c r="GK42" s="7">
        <v>10.61</v>
      </c>
      <c r="GL42" s="7">
        <v>15.5</v>
      </c>
      <c r="GM42" s="7">
        <v>20.16</v>
      </c>
      <c r="GN42" s="7">
        <v>24.44</v>
      </c>
      <c r="GO42" s="7">
        <v>28.71</v>
      </c>
      <c r="GP42" s="7">
        <v>32.76</v>
      </c>
      <c r="GQ42" s="7">
        <v>36.65</v>
      </c>
      <c r="GR42" s="113">
        <v>40.47</v>
      </c>
      <c r="GS42" s="7">
        <v>44.29</v>
      </c>
      <c r="GT42" s="7">
        <v>51.47</v>
      </c>
      <c r="GU42" s="7">
        <v>54.91</v>
      </c>
      <c r="GV42" s="7">
        <v>58.34</v>
      </c>
      <c r="GW42" s="113">
        <v>61.66</v>
      </c>
      <c r="GX42" s="113">
        <v>64.99</v>
      </c>
      <c r="GY42" s="113">
        <v>77.74</v>
      </c>
      <c r="GZ42" s="89"/>
      <c r="HA42" s="7">
        <v>7.39</v>
      </c>
      <c r="HB42" s="7">
        <v>13.29</v>
      </c>
      <c r="HC42" s="7">
        <v>15.95</v>
      </c>
      <c r="HD42" s="7">
        <v>18.45</v>
      </c>
      <c r="HE42" s="7">
        <v>20.29</v>
      </c>
      <c r="HF42" s="7">
        <v>22.14</v>
      </c>
      <c r="HG42" s="7">
        <v>23.72</v>
      </c>
      <c r="HH42" s="7">
        <v>25.3</v>
      </c>
      <c r="HI42" s="7">
        <v>26.56</v>
      </c>
      <c r="HJ42" s="7">
        <v>27.82</v>
      </c>
      <c r="HK42" s="7"/>
      <c r="HL42" s="7"/>
      <c r="HN42" s="28"/>
      <c r="HO42" s="7">
        <v>6.2</v>
      </c>
      <c r="HP42" s="7">
        <v>9.52</v>
      </c>
      <c r="HQ42" s="28"/>
      <c r="HR42" s="7">
        <v>2.57</v>
      </c>
      <c r="HS42" s="7">
        <v>4.82</v>
      </c>
      <c r="HT42" s="7">
        <v>10.83</v>
      </c>
      <c r="HU42" s="28"/>
      <c r="HV42" s="28"/>
      <c r="HW42" s="28"/>
      <c r="HX42" s="28"/>
      <c r="HY42" s="89" t="s">
        <v>63</v>
      </c>
      <c r="HZ42" s="28" t="s">
        <v>129</v>
      </c>
      <c r="IB42" s="28"/>
      <c r="IC42" s="28"/>
      <c r="ID42" s="89"/>
      <c r="IE42" s="92">
        <f>FX40</f>
        <v>0</v>
      </c>
      <c r="IF42" s="42">
        <f>((FX40*$BQ$27)/$BR$27)</f>
        <v>0</v>
      </c>
      <c r="IG42" s="42" t="e">
        <f>((FX40*$BQ$27)/$BS$27)</f>
        <v>#DIV/0!</v>
      </c>
      <c r="IH42" s="77" t="e">
        <f>((FX40*$BQ$27)/$BT$27)</f>
        <v>#DIV/0!</v>
      </c>
      <c r="II42" s="28"/>
      <c r="IJ42" s="31"/>
    </row>
    <row r="43" spans="1:244" ht="12.75">
      <c r="A43" t="s">
        <v>13</v>
      </c>
      <c r="C43" s="98">
        <f>IF($M$9="FL",HLOOKUP($K$15,$X$51:$AM$55,5,TRUE),IF($M$9="CO",HLOOKUP($K$15,$CA$51:$CP$55,5,TRUE),IF($M$9="IN",HLOOKUP($K$15,$CA$51:$CP$55,5,TRUE),IF($M$9="TX",HLOOKUP($K$15,$EE$51:$ET$55,5,TRUE),HLOOKUP($K$15,$GJ$51:$GY$55,5,TRUE)))))</f>
        <v>343.21</v>
      </c>
      <c r="D43" s="98">
        <f>IF($K$16="",0,IF($M$9="FL",HLOOKUP($K$16,$AO$51:$AZ$55,5,TRUE),IF($M$9="CO",HLOOKUP($K$16,$CR$51:$DC$55,5,TRUE),IF($M$9="IN",HLOOKUP($K$16,$CR$51:$DC$55,5,TRUE),IF($M$9="TX",HLOOKUP($K$16,$EV$51:$FG$55,5,TRUE),HLOOKUP($K$16,$HA$51:$HL$55,5,TRUE))))))</f>
        <v>137.31</v>
      </c>
      <c r="E43" s="98">
        <f>IF($K$17="",0,IF($M$9="FL",HLOOKUP($K$17,$BC$51:$BD$55,5,TRUE),IF($M$9="CO",HLOOKUP($K$17,$DF$51:$DG$55,5,TRUE),IF($M$9="IN",HLOOKUP($K$17,$DF$51:$DG$55,5,TRUE),IF($M$9="TX",HLOOKUP($K$17,$FJ$51:$FK$55,5,TRUE),HLOOKUP($K$17,$HO$51:$HP$55,5,TRUE))))))</f>
        <v>0</v>
      </c>
      <c r="F43" s="98">
        <f>IF($K$18="",0,IF($M$9="FL",HLOOKUP($K$18,$BF$51:$BH$55,5,TRUE),IF($M$9="CO",HLOOKUP($K$18,$DI$51:$DK$55,5,TRUE),IF($M$9="IN",HLOOKUP($K$18,$DI$86:$DK$90,5,TRUE),IF($M$9="TX",HLOOKUP($K$18,$FM$51:$FO$55,5,TRUE),HLOOKUP($K$18,$HR$51:$HT$55,5,TRUE))))))</f>
        <v>0</v>
      </c>
      <c r="G43" s="98">
        <f>IF($K$19="",0,IF($M$9="FL",HLOOKUP($K$19,$BJ$31:$BK$35,5,TRUE),IF($M$9="CO",HLOOKUP($K$19,$DM$31:$DN$35,5,TRUE),IF($M$9="IN",HLOOKUP($K$19,$DM$31:$DN$35,5,TRUE),IF($M$9="TX",HLOOKUP($K$19,$FQ$31:$FR$35,5,TRUE),HLOOKUP($K$19,$HV$31:$HW$35,5,TRUE))))))</f>
        <v>0</v>
      </c>
      <c r="H43" s="98">
        <f>IF($K$20="",0,IF($M$9="FL",HLOOKUP($K$20,$BM$31:$BP$35,5,TRUE),IF($M$9="CO",HLOOKUP($K$20,$DP$31:$DS$35,5,TRUE),IF($M$9="IN",HLOOKUP($K$20,$DP$31:$DS$35,5,TRUE),IF($M$9="TX",HLOOKUP($K$20,$FT$31:$FW$35,5,TRUE),HLOOKUP($K$20,$HY$31:$IB$35,5,TRUE))))))</f>
        <v>0</v>
      </c>
      <c r="J43" t="s">
        <v>54</v>
      </c>
      <c r="K43" s="24"/>
      <c r="L43" s="38">
        <f>IF(AND($K$16&lt;=($K$15*0.5),AND($K$16&lt;=2500),OR($K$17=15,$K$17=20,$K$17=""),OR($K$18=100,$K$18=200,$K$18=500,$K$18=""),OR($K$21="GENERIC",$K$21="GENERIC/BRAND",$K$21=""),OR($K$22=5000,$K$22=10000,$K$22=15000,$K$22=20000,$K$22=""),OR($K$46&lt;5000)),(C43+D43+E43+F43+G43+H43),"ERROR")</f>
        <v>480.52</v>
      </c>
      <c r="M43" s="38">
        <f>SUM(L43*K43)</f>
        <v>0</v>
      </c>
      <c r="N43" s="38"/>
      <c r="O43" s="78"/>
      <c r="P43" s="79"/>
      <c r="Q43" s="79">
        <f>IF($L$13&gt;0,(($BR$42*((100-$L$12)/100))+((BR45-$BR$42)*((100-$L$13)/100))),(($BR$42*((100-$L$12)/100))+((BR45-$BR$42))))</f>
        <v>240.26</v>
      </c>
      <c r="R43" s="80"/>
      <c r="U43" s="8" t="s">
        <v>1</v>
      </c>
      <c r="V43" s="9"/>
      <c r="W43" s="89"/>
      <c r="X43" s="7">
        <v>7.88</v>
      </c>
      <c r="Y43" s="7">
        <v>15.38</v>
      </c>
      <c r="Z43" s="7">
        <v>22.46</v>
      </c>
      <c r="AA43" s="7">
        <v>29.23</v>
      </c>
      <c r="AB43" s="7">
        <v>35.45</v>
      </c>
      <c r="AC43" s="7">
        <v>41.66</v>
      </c>
      <c r="AD43" s="7">
        <v>47.51</v>
      </c>
      <c r="AE43" s="7">
        <v>53.17</v>
      </c>
      <c r="AF43" s="113">
        <v>58.71</v>
      </c>
      <c r="AG43" s="7">
        <v>64.25</v>
      </c>
      <c r="AH43" s="7">
        <v>74.65</v>
      </c>
      <c r="AI43" s="7">
        <v>79.63</v>
      </c>
      <c r="AJ43" s="7">
        <v>84.62</v>
      </c>
      <c r="AK43" s="152">
        <v>89.45</v>
      </c>
      <c r="AL43" s="113">
        <v>94.28</v>
      </c>
      <c r="AM43" s="113">
        <v>112.74</v>
      </c>
      <c r="AN43" s="89"/>
      <c r="AO43" s="7">
        <v>10.7</v>
      </c>
      <c r="AP43" s="7">
        <v>19.28</v>
      </c>
      <c r="AQ43" s="7">
        <v>23.11</v>
      </c>
      <c r="AR43" s="7">
        <v>26.76</v>
      </c>
      <c r="AS43" s="7">
        <v>29.44</v>
      </c>
      <c r="AT43" s="7">
        <v>32.11</v>
      </c>
      <c r="AU43" s="7">
        <v>34.4</v>
      </c>
      <c r="AV43" s="7">
        <v>36.7</v>
      </c>
      <c r="AW43" s="7">
        <v>38.53</v>
      </c>
      <c r="AX43" s="7">
        <v>40.36</v>
      </c>
      <c r="AY43" s="7"/>
      <c r="AZ43" s="7"/>
      <c r="BB43" s="28"/>
      <c r="BC43" s="7">
        <v>7.32</v>
      </c>
      <c r="BD43" s="7">
        <v>12.16</v>
      </c>
      <c r="BE43" s="28"/>
      <c r="BF43" s="7">
        <v>3.28</v>
      </c>
      <c r="BG43" s="7">
        <v>6.26</v>
      </c>
      <c r="BH43" s="7">
        <v>14.03</v>
      </c>
      <c r="BI43" s="28"/>
      <c r="BJ43" s="28"/>
      <c r="BK43" s="28"/>
      <c r="BL43" s="28"/>
      <c r="BM43" s="28"/>
      <c r="BN43" s="28"/>
      <c r="BO43" s="28"/>
      <c r="BP43" s="28"/>
      <c r="BQ43" s="92"/>
      <c r="BR43" s="186">
        <f>((L41*12)/$Q$26)</f>
        <v>167.305</v>
      </c>
      <c r="BS43" s="42"/>
      <c r="BT43" s="77"/>
      <c r="BU43" s="28"/>
      <c r="BV43" s="31"/>
      <c r="BX43" s="8" t="s">
        <v>1</v>
      </c>
      <c r="BY43" s="9"/>
      <c r="BZ43" s="89"/>
      <c r="CA43" s="7">
        <v>8.53</v>
      </c>
      <c r="CB43" s="7">
        <v>16.67</v>
      </c>
      <c r="CC43" s="7">
        <v>24.33</v>
      </c>
      <c r="CD43" s="7">
        <v>31.67</v>
      </c>
      <c r="CE43" s="7">
        <v>38.4</v>
      </c>
      <c r="CF43" s="7">
        <v>45.13</v>
      </c>
      <c r="CG43" s="7">
        <v>51.47</v>
      </c>
      <c r="CH43" s="7">
        <v>57.6</v>
      </c>
      <c r="CI43" s="113">
        <v>63.6</v>
      </c>
      <c r="CJ43" s="7">
        <v>69.6</v>
      </c>
      <c r="CK43" s="7">
        <v>80.87</v>
      </c>
      <c r="CL43" s="7">
        <v>86.27</v>
      </c>
      <c r="CM43" s="7">
        <v>91.67</v>
      </c>
      <c r="CN43" s="152">
        <v>96.9</v>
      </c>
      <c r="CO43" s="113">
        <v>102.13</v>
      </c>
      <c r="CP43" s="113">
        <v>122.13</v>
      </c>
      <c r="CQ43" s="89"/>
      <c r="CR43" s="7">
        <v>11.59</v>
      </c>
      <c r="CS43" s="7">
        <v>20.88</v>
      </c>
      <c r="CT43" s="7">
        <v>25.04</v>
      </c>
      <c r="CU43" s="7">
        <v>28.99</v>
      </c>
      <c r="CV43" s="7">
        <v>31.89</v>
      </c>
      <c r="CW43" s="7">
        <v>34.79</v>
      </c>
      <c r="CX43" s="7">
        <v>37.27</v>
      </c>
      <c r="CY43" s="7">
        <v>39.75</v>
      </c>
      <c r="CZ43" s="7">
        <v>41.74</v>
      </c>
      <c r="DA43" s="7">
        <v>43.72</v>
      </c>
      <c r="DB43" s="7"/>
      <c r="DC43" s="7"/>
      <c r="DE43" s="28"/>
      <c r="DF43" s="7">
        <v>7.93</v>
      </c>
      <c r="DG43" s="7">
        <v>13.17</v>
      </c>
      <c r="DH43" s="28"/>
      <c r="DI43" s="7">
        <v>3.55</v>
      </c>
      <c r="DJ43" s="7">
        <v>6.78</v>
      </c>
      <c r="DK43" s="7">
        <v>15.2</v>
      </c>
      <c r="DL43" s="28"/>
      <c r="DM43" s="28"/>
      <c r="DN43" s="28"/>
      <c r="DO43" s="28"/>
      <c r="DP43" s="28"/>
      <c r="DQ43" s="28"/>
      <c r="DR43" s="28"/>
      <c r="DS43" s="28"/>
      <c r="DT43" s="28"/>
      <c r="DU43" s="92" t="e">
        <f>#REF!</f>
        <v>#REF!</v>
      </c>
      <c r="DV43" s="42" t="e">
        <f>((#REF!*$BQ$27)/$BR$27)</f>
        <v>#REF!</v>
      </c>
      <c r="DW43" s="42" t="e">
        <f>((#REF!*$BQ$27)/$BS$27)</f>
        <v>#REF!</v>
      </c>
      <c r="DX43" s="77" t="e">
        <f>((#REF!*$BQ$27)/$BT$27)</f>
        <v>#REF!</v>
      </c>
      <c r="DY43" s="28"/>
      <c r="DZ43" s="31"/>
      <c r="EB43" s="8" t="s">
        <v>1</v>
      </c>
      <c r="EC43" s="9"/>
      <c r="ED43" s="89"/>
      <c r="EE43" s="7">
        <v>11.35</v>
      </c>
      <c r="EF43" s="7">
        <v>19.95</v>
      </c>
      <c r="EG43" s="7">
        <v>25.55</v>
      </c>
      <c r="EH43" s="7">
        <v>28.55</v>
      </c>
      <c r="EI43" s="7">
        <v>37.48</v>
      </c>
      <c r="EJ43" s="7">
        <v>46.4</v>
      </c>
      <c r="EK43" s="7">
        <v>52.58</v>
      </c>
      <c r="EL43" s="7">
        <v>58.57</v>
      </c>
      <c r="EM43" s="113">
        <v>63.91</v>
      </c>
      <c r="EN43" s="7">
        <v>69.24</v>
      </c>
      <c r="EO43" s="7">
        <v>79.95</v>
      </c>
      <c r="EP43" s="7">
        <v>84.61</v>
      </c>
      <c r="EQ43" s="7">
        <v>89.27</v>
      </c>
      <c r="ER43" s="113">
        <v>93.66</v>
      </c>
      <c r="ES43" s="113">
        <v>98.06</v>
      </c>
      <c r="ET43" s="113">
        <v>112.77</v>
      </c>
      <c r="EU43" s="89"/>
      <c r="EV43" s="7">
        <v>13.28</v>
      </c>
      <c r="EW43" s="7">
        <v>23.92</v>
      </c>
      <c r="EX43" s="7">
        <v>28.68</v>
      </c>
      <c r="EY43" s="7">
        <v>33.2</v>
      </c>
      <c r="EZ43" s="7">
        <v>36.53</v>
      </c>
      <c r="FA43" s="7">
        <v>39.85</v>
      </c>
      <c r="FB43" s="7">
        <v>42.69</v>
      </c>
      <c r="FC43" s="7">
        <v>45.54</v>
      </c>
      <c r="FD43" s="7">
        <v>47.82</v>
      </c>
      <c r="FE43" s="7">
        <v>50.08</v>
      </c>
      <c r="FF43" s="7"/>
      <c r="FG43" s="7"/>
      <c r="FI43" s="28"/>
      <c r="FJ43" s="7">
        <v>9.08</v>
      </c>
      <c r="FK43" s="7">
        <v>15.09</v>
      </c>
      <c r="FL43" s="28"/>
      <c r="FM43" s="7">
        <v>4.07</v>
      </c>
      <c r="FN43" s="7">
        <v>7.76</v>
      </c>
      <c r="FO43" s="7">
        <v>17.41</v>
      </c>
      <c r="FP43" s="28"/>
      <c r="FQ43" s="28"/>
      <c r="FR43" s="28"/>
      <c r="FS43" s="28"/>
      <c r="FT43" s="28"/>
      <c r="FU43" s="28"/>
      <c r="FV43" s="28"/>
      <c r="FW43" s="28"/>
      <c r="FX43" s="28"/>
      <c r="FY43" s="89"/>
      <c r="FZ43" s="92">
        <f>DT41</f>
        <v>0</v>
      </c>
      <c r="GA43" s="42">
        <f>((DT41*$BQ$27)/$BR$27)</f>
        <v>0</v>
      </c>
      <c r="GB43" s="42" t="e">
        <f>((DT41*$BQ$27)/$BS$27)</f>
        <v>#DIV/0!</v>
      </c>
      <c r="GC43" s="77" t="e">
        <f>((DT41*$BQ$27)/$BT$27)</f>
        <v>#DIV/0!</v>
      </c>
      <c r="GD43" s="28"/>
      <c r="GE43" s="31"/>
      <c r="GG43" s="8" t="s">
        <v>1</v>
      </c>
      <c r="GH43" s="9"/>
      <c r="GI43" s="89"/>
      <c r="GJ43" s="7">
        <v>9.77</v>
      </c>
      <c r="GK43" s="7">
        <v>19.09</v>
      </c>
      <c r="GL43" s="7">
        <v>27.87</v>
      </c>
      <c r="GM43" s="7">
        <v>36.27</v>
      </c>
      <c r="GN43" s="7">
        <v>43.99</v>
      </c>
      <c r="GO43" s="7">
        <v>51.7</v>
      </c>
      <c r="GP43" s="7">
        <v>58.95</v>
      </c>
      <c r="GQ43" s="7">
        <v>65.98</v>
      </c>
      <c r="GR43" s="113">
        <v>72.85</v>
      </c>
      <c r="GS43" s="7">
        <v>79.72</v>
      </c>
      <c r="GT43" s="7">
        <v>92.63</v>
      </c>
      <c r="GU43" s="7">
        <v>98.81</v>
      </c>
      <c r="GV43" s="7">
        <v>105</v>
      </c>
      <c r="GW43" s="113">
        <v>110.99</v>
      </c>
      <c r="GX43" s="113">
        <v>116.99</v>
      </c>
      <c r="GY43" s="113">
        <v>139.9</v>
      </c>
      <c r="GZ43" s="89"/>
      <c r="HA43" s="7">
        <v>13.28</v>
      </c>
      <c r="HB43" s="7">
        <v>23.92</v>
      </c>
      <c r="HC43" s="7">
        <v>28.68</v>
      </c>
      <c r="HD43" s="7">
        <v>33.2</v>
      </c>
      <c r="HE43" s="7">
        <v>36.53</v>
      </c>
      <c r="HF43" s="7">
        <v>39.85</v>
      </c>
      <c r="HG43" s="7">
        <v>42.69</v>
      </c>
      <c r="HH43" s="7">
        <v>45.54</v>
      </c>
      <c r="HI43" s="7">
        <v>47.82</v>
      </c>
      <c r="HJ43" s="7">
        <v>50.08</v>
      </c>
      <c r="HK43" s="7"/>
      <c r="HL43" s="7"/>
      <c r="HN43" s="28"/>
      <c r="HO43" s="7">
        <v>9.08</v>
      </c>
      <c r="HP43" s="7">
        <v>15.09</v>
      </c>
      <c r="HQ43" s="28"/>
      <c r="HR43" s="7">
        <v>4.07</v>
      </c>
      <c r="HS43" s="7">
        <v>7.76</v>
      </c>
      <c r="HT43" s="7">
        <v>17.41</v>
      </c>
      <c r="HU43" s="28"/>
      <c r="HV43" s="28"/>
      <c r="HW43" s="28"/>
      <c r="HX43" s="28"/>
      <c r="HY43" s="89" t="s">
        <v>64</v>
      </c>
      <c r="HZ43" s="191" t="s">
        <v>130</v>
      </c>
      <c r="IB43" s="28"/>
      <c r="IC43" s="28"/>
      <c r="ID43" s="89"/>
      <c r="IE43" s="92">
        <f>FX41</f>
        <v>0</v>
      </c>
      <c r="IF43" s="42">
        <f>((FX41*$BQ$27)/$BR$27)</f>
        <v>0</v>
      </c>
      <c r="IG43" s="42" t="e">
        <f>((FX41*$BQ$27)/$BS$27)</f>
        <v>#DIV/0!</v>
      </c>
      <c r="IH43" s="77" t="e">
        <f>((FX41*$BQ$27)/$BT$27)</f>
        <v>#DIV/0!</v>
      </c>
      <c r="II43" s="28"/>
      <c r="IJ43" s="31"/>
    </row>
    <row r="44" spans="17:244" ht="7.5" customHeight="1">
      <c r="Q44" s="40"/>
      <c r="R44" s="40"/>
      <c r="U44" s="8" t="s">
        <v>2</v>
      </c>
      <c r="V44" s="13"/>
      <c r="W44" s="89"/>
      <c r="X44" s="7">
        <v>8.18</v>
      </c>
      <c r="Y44" s="7">
        <v>16</v>
      </c>
      <c r="Z44" s="7">
        <v>23.32</v>
      </c>
      <c r="AA44" s="7">
        <v>30.34</v>
      </c>
      <c r="AB44" s="7">
        <v>36.8</v>
      </c>
      <c r="AC44" s="7">
        <v>43.2</v>
      </c>
      <c r="AD44" s="7">
        <v>49.35</v>
      </c>
      <c r="AE44" s="7">
        <v>55.2</v>
      </c>
      <c r="AF44" s="113">
        <v>60.95</v>
      </c>
      <c r="AG44" s="7">
        <v>66.71</v>
      </c>
      <c r="AH44" s="7">
        <v>77.54</v>
      </c>
      <c r="AI44" s="7">
        <v>82.71</v>
      </c>
      <c r="AJ44" s="7">
        <v>87.88</v>
      </c>
      <c r="AK44" s="152">
        <v>92.89</v>
      </c>
      <c r="AL44" s="113">
        <v>97.91</v>
      </c>
      <c r="AM44" s="113">
        <v>117.11</v>
      </c>
      <c r="AN44" s="89"/>
      <c r="AO44" s="7">
        <v>10.76</v>
      </c>
      <c r="AP44" s="7">
        <v>19.38</v>
      </c>
      <c r="AQ44" s="7">
        <v>23.26</v>
      </c>
      <c r="AR44" s="7">
        <v>26.92</v>
      </c>
      <c r="AS44" s="7">
        <v>29.61</v>
      </c>
      <c r="AT44" s="7">
        <v>32.3</v>
      </c>
      <c r="AU44" s="7">
        <v>34.61</v>
      </c>
      <c r="AV44" s="7">
        <v>36.92</v>
      </c>
      <c r="AW44" s="7">
        <v>38.76</v>
      </c>
      <c r="AX44" s="7">
        <v>40.62</v>
      </c>
      <c r="AY44" s="7"/>
      <c r="AZ44" s="7"/>
      <c r="BB44" s="28"/>
      <c r="BC44" s="7">
        <v>7.72</v>
      </c>
      <c r="BD44" s="7">
        <v>14.43</v>
      </c>
      <c r="BE44" s="28"/>
      <c r="BF44" s="7">
        <v>7.17</v>
      </c>
      <c r="BG44" s="7">
        <v>13.68</v>
      </c>
      <c r="BH44" s="7">
        <v>30.53</v>
      </c>
      <c r="BI44" s="28"/>
      <c r="BJ44" s="28"/>
      <c r="BK44" s="28"/>
      <c r="BL44" s="28"/>
      <c r="BM44" s="28"/>
      <c r="BN44" s="28"/>
      <c r="BO44" s="28"/>
      <c r="BP44" s="28"/>
      <c r="BQ44" s="92"/>
      <c r="BR44" s="186">
        <f>((L42*12)/$Q$26)</f>
        <v>165.945</v>
      </c>
      <c r="BS44" s="42"/>
      <c r="BT44" s="77"/>
      <c r="BU44" s="28"/>
      <c r="BV44" s="31"/>
      <c r="BX44" s="8" t="s">
        <v>2</v>
      </c>
      <c r="BY44" s="13"/>
      <c r="BZ44" s="89"/>
      <c r="CA44" s="7">
        <v>8.87</v>
      </c>
      <c r="CB44" s="7">
        <v>17.33</v>
      </c>
      <c r="CC44" s="7">
        <v>25.27</v>
      </c>
      <c r="CD44" s="7">
        <v>32.87</v>
      </c>
      <c r="CE44" s="7">
        <v>39.87</v>
      </c>
      <c r="CF44" s="7">
        <v>46.8</v>
      </c>
      <c r="CG44" s="7">
        <v>53.47</v>
      </c>
      <c r="CH44" s="7">
        <v>59.8</v>
      </c>
      <c r="CI44" s="113">
        <v>66.03</v>
      </c>
      <c r="CJ44" s="7">
        <v>72.27</v>
      </c>
      <c r="CK44" s="7">
        <v>84</v>
      </c>
      <c r="CL44" s="7">
        <v>89.6</v>
      </c>
      <c r="CM44" s="7">
        <v>95.2</v>
      </c>
      <c r="CN44" s="152">
        <v>100.63</v>
      </c>
      <c r="CO44" s="113">
        <v>106.07</v>
      </c>
      <c r="CP44" s="113">
        <v>126.87</v>
      </c>
      <c r="CQ44" s="89"/>
      <c r="CR44" s="7">
        <v>11.65</v>
      </c>
      <c r="CS44" s="7">
        <v>20.99</v>
      </c>
      <c r="CT44" s="7">
        <v>25.2</v>
      </c>
      <c r="CU44" s="7">
        <v>29.16</v>
      </c>
      <c r="CV44" s="7">
        <v>32.07</v>
      </c>
      <c r="CW44" s="7">
        <v>34.99</v>
      </c>
      <c r="CX44" s="7">
        <v>37.49</v>
      </c>
      <c r="CY44" s="7">
        <v>39.99</v>
      </c>
      <c r="CZ44" s="7">
        <v>41.99</v>
      </c>
      <c r="DA44" s="7">
        <v>44</v>
      </c>
      <c r="DB44" s="7"/>
      <c r="DC44" s="7"/>
      <c r="DE44" s="28"/>
      <c r="DF44" s="7">
        <v>8.36</v>
      </c>
      <c r="DG44" s="7">
        <v>15.63</v>
      </c>
      <c r="DH44" s="28"/>
      <c r="DI44" s="7">
        <v>7.76</v>
      </c>
      <c r="DJ44" s="7">
        <v>14.81</v>
      </c>
      <c r="DK44" s="7">
        <v>33.07</v>
      </c>
      <c r="DL44" s="28"/>
      <c r="DM44" s="28"/>
      <c r="DN44" s="28"/>
      <c r="DO44" s="28"/>
      <c r="DP44" s="28"/>
      <c r="DQ44" s="28"/>
      <c r="DR44" s="28"/>
      <c r="DS44" s="28"/>
      <c r="DT44" s="28"/>
      <c r="DU44" s="92" t="e">
        <f>#REF!</f>
        <v>#REF!</v>
      </c>
      <c r="DV44" s="42" t="e">
        <f>((#REF!*$BQ$27)/$BR$27)</f>
        <v>#REF!</v>
      </c>
      <c r="DW44" s="42" t="e">
        <f>((#REF!*$BQ$27)/$BS$27)</f>
        <v>#REF!</v>
      </c>
      <c r="DX44" s="77" t="e">
        <f>((#REF!*$BQ$27)/$BT$27)</f>
        <v>#REF!</v>
      </c>
      <c r="DY44" s="28"/>
      <c r="DZ44" s="31"/>
      <c r="EB44" s="8" t="s">
        <v>2</v>
      </c>
      <c r="EC44" s="13"/>
      <c r="ED44" s="89"/>
      <c r="EE44" s="7">
        <v>15.14</v>
      </c>
      <c r="EF44" s="7">
        <v>25.17</v>
      </c>
      <c r="EG44" s="7">
        <v>29.91</v>
      </c>
      <c r="EH44" s="7">
        <v>46.4</v>
      </c>
      <c r="EI44" s="7">
        <v>51.08</v>
      </c>
      <c r="EJ44" s="7">
        <v>55.72</v>
      </c>
      <c r="EK44" s="7">
        <v>63.15</v>
      </c>
      <c r="EL44" s="7">
        <v>70.22</v>
      </c>
      <c r="EM44" s="113">
        <v>76.63</v>
      </c>
      <c r="EN44" s="7">
        <v>83.03</v>
      </c>
      <c r="EO44" s="7">
        <v>96.33</v>
      </c>
      <c r="EP44" s="7">
        <v>101.91</v>
      </c>
      <c r="EQ44" s="7">
        <v>107.49</v>
      </c>
      <c r="ER44" s="113">
        <v>112.81</v>
      </c>
      <c r="ES44" s="113">
        <v>118.12</v>
      </c>
      <c r="ET44" s="113">
        <v>135.84</v>
      </c>
      <c r="EU44" s="89"/>
      <c r="EV44" s="7">
        <v>13.35</v>
      </c>
      <c r="EW44" s="7">
        <v>24.05</v>
      </c>
      <c r="EX44" s="7">
        <v>28.87</v>
      </c>
      <c r="EY44" s="7">
        <v>33.4</v>
      </c>
      <c r="EZ44" s="7">
        <v>36.74</v>
      </c>
      <c r="FA44" s="7">
        <v>40.08</v>
      </c>
      <c r="FB44" s="7">
        <v>42.94</v>
      </c>
      <c r="FC44" s="7">
        <v>45.81</v>
      </c>
      <c r="FD44" s="7">
        <v>48.1</v>
      </c>
      <c r="FE44" s="7">
        <v>50.4</v>
      </c>
      <c r="FF44" s="7"/>
      <c r="FG44" s="7"/>
      <c r="FI44" s="28"/>
      <c r="FJ44" s="7">
        <v>9.58</v>
      </c>
      <c r="FK44" s="7">
        <v>17.91</v>
      </c>
      <c r="FL44" s="28"/>
      <c r="FM44" s="7">
        <v>8.89</v>
      </c>
      <c r="FN44" s="7">
        <v>16.97</v>
      </c>
      <c r="FO44" s="7">
        <v>37.88</v>
      </c>
      <c r="FP44" s="28"/>
      <c r="FQ44" s="28"/>
      <c r="FR44" s="28"/>
      <c r="FS44" s="28"/>
      <c r="FT44" s="28"/>
      <c r="FU44" s="28"/>
      <c r="FV44" s="28"/>
      <c r="FW44" s="28"/>
      <c r="FX44" s="28"/>
      <c r="FY44" s="89"/>
      <c r="FZ44" s="92">
        <f>DT42</f>
        <v>0</v>
      </c>
      <c r="GA44" s="42">
        <f>((DT42*$BQ$27)/$BR$27)</f>
        <v>0</v>
      </c>
      <c r="GB44" s="42" t="e">
        <f>((DT42*$BQ$27)/$BS$27)</f>
        <v>#DIV/0!</v>
      </c>
      <c r="GC44" s="77" t="e">
        <f>((DT42*$BQ$27)/$BT$27)</f>
        <v>#DIV/0!</v>
      </c>
      <c r="GD44" s="28"/>
      <c r="GE44" s="31"/>
      <c r="GG44" s="8" t="s">
        <v>2</v>
      </c>
      <c r="GH44" s="13"/>
      <c r="GI44" s="89"/>
      <c r="GJ44" s="7">
        <v>10.16</v>
      </c>
      <c r="GK44" s="7">
        <v>19.85</v>
      </c>
      <c r="GL44" s="7">
        <v>28.94</v>
      </c>
      <c r="GM44" s="7">
        <v>37.65</v>
      </c>
      <c r="GN44" s="7">
        <v>45.67</v>
      </c>
      <c r="GO44" s="7">
        <v>53.61</v>
      </c>
      <c r="GP44" s="7">
        <v>61.24</v>
      </c>
      <c r="GQ44" s="7">
        <v>68.5</v>
      </c>
      <c r="GR44" s="113">
        <v>75.64</v>
      </c>
      <c r="GS44" s="7">
        <v>82.78</v>
      </c>
      <c r="GT44" s="7">
        <v>96.22</v>
      </c>
      <c r="GU44" s="7">
        <v>102.63</v>
      </c>
      <c r="GV44" s="7">
        <v>109.05</v>
      </c>
      <c r="GW44" s="113">
        <v>115.27</v>
      </c>
      <c r="GX44" s="113">
        <v>121.49</v>
      </c>
      <c r="GY44" s="113">
        <v>145.32</v>
      </c>
      <c r="GZ44" s="89"/>
      <c r="HA44" s="7">
        <v>13.35</v>
      </c>
      <c r="HB44" s="7">
        <v>24.05</v>
      </c>
      <c r="HC44" s="7">
        <v>28.87</v>
      </c>
      <c r="HD44" s="7">
        <v>33.4</v>
      </c>
      <c r="HE44" s="7">
        <v>36.74</v>
      </c>
      <c r="HF44" s="7">
        <v>40.08</v>
      </c>
      <c r="HG44" s="7">
        <v>42.94</v>
      </c>
      <c r="HH44" s="7">
        <v>45.81</v>
      </c>
      <c r="HI44" s="7">
        <v>48.1</v>
      </c>
      <c r="HJ44" s="7">
        <v>50.4</v>
      </c>
      <c r="HK44" s="7"/>
      <c r="HL44" s="7"/>
      <c r="HN44" s="28"/>
      <c r="HO44" s="7">
        <v>9.58</v>
      </c>
      <c r="HP44" s="7">
        <v>17.91</v>
      </c>
      <c r="HQ44" s="28"/>
      <c r="HR44" s="7">
        <v>8.89</v>
      </c>
      <c r="HS44" s="7">
        <v>16.97</v>
      </c>
      <c r="HT44" s="7">
        <v>37.88</v>
      </c>
      <c r="HU44" s="28"/>
      <c r="HV44" s="28"/>
      <c r="HW44" s="28"/>
      <c r="HX44" s="28"/>
      <c r="HY44" s="89" t="s">
        <v>131</v>
      </c>
      <c r="HZ44" s="28" t="s">
        <v>129</v>
      </c>
      <c r="IB44" s="28"/>
      <c r="IC44" s="28"/>
      <c r="ID44" s="89"/>
      <c r="IE44" s="92">
        <f>FX42</f>
        <v>0</v>
      </c>
      <c r="IF44" s="42">
        <f>((FX42*$BQ$27)/$BR$27)</f>
        <v>0</v>
      </c>
      <c r="IG44" s="42" t="e">
        <f>((FX42*$BQ$27)/$BS$27)</f>
        <v>#DIV/0!</v>
      </c>
      <c r="IH44" s="77" t="e">
        <f>((FX42*$BQ$27)/$BT$27)</f>
        <v>#DIV/0!</v>
      </c>
      <c r="II44" s="28"/>
      <c r="IJ44" s="31"/>
    </row>
    <row r="45" spans="17:244" ht="7.5" customHeight="1">
      <c r="Q45" s="40"/>
      <c r="R45" s="40"/>
      <c r="U45" s="10" t="s">
        <v>3</v>
      </c>
      <c r="V45" s="14"/>
      <c r="W45" s="89"/>
      <c r="X45" s="7">
        <v>11.69</v>
      </c>
      <c r="Y45" s="7">
        <v>22.83</v>
      </c>
      <c r="Z45" s="7">
        <v>33.29</v>
      </c>
      <c r="AA45" s="7">
        <v>43.32</v>
      </c>
      <c r="AB45" s="7">
        <v>52.55</v>
      </c>
      <c r="AC45" s="7">
        <v>61.72</v>
      </c>
      <c r="AD45" s="7">
        <v>70.46</v>
      </c>
      <c r="AE45" s="7">
        <v>78.83</v>
      </c>
      <c r="AF45" s="113">
        <v>87.05</v>
      </c>
      <c r="AG45" s="7">
        <v>95.26</v>
      </c>
      <c r="AH45" s="7">
        <v>110.71</v>
      </c>
      <c r="AI45" s="7">
        <v>118.09</v>
      </c>
      <c r="AJ45" s="7">
        <v>125.48</v>
      </c>
      <c r="AK45" s="153">
        <v>132.65</v>
      </c>
      <c r="AL45" s="46">
        <v>139.82</v>
      </c>
      <c r="AM45" s="47">
        <v>167.2</v>
      </c>
      <c r="AN45" s="89"/>
      <c r="AO45" s="7">
        <v>15.51</v>
      </c>
      <c r="AP45" s="7">
        <v>27.96</v>
      </c>
      <c r="AQ45" s="7">
        <v>33.51</v>
      </c>
      <c r="AR45" s="7">
        <v>38.78</v>
      </c>
      <c r="AS45" s="7">
        <v>42.67</v>
      </c>
      <c r="AT45" s="7">
        <v>46.55</v>
      </c>
      <c r="AU45" s="7">
        <v>49.87</v>
      </c>
      <c r="AV45" s="7">
        <v>53.19</v>
      </c>
      <c r="AW45" s="7">
        <v>55.85</v>
      </c>
      <c r="AX45" s="7">
        <v>58.5</v>
      </c>
      <c r="AY45" s="7"/>
      <c r="AZ45" s="7"/>
      <c r="BB45" s="28"/>
      <c r="BC45" s="7">
        <v>9.18</v>
      </c>
      <c r="BD45" s="7">
        <v>16.96</v>
      </c>
      <c r="BE45" s="28"/>
      <c r="BF45" s="7">
        <v>7.97</v>
      </c>
      <c r="BG45" s="7">
        <v>15.19</v>
      </c>
      <c r="BH45" s="7">
        <v>33.96</v>
      </c>
      <c r="BI45" s="28"/>
      <c r="BJ45" s="28"/>
      <c r="BK45" s="28"/>
      <c r="BL45" s="28"/>
      <c r="BM45" s="28"/>
      <c r="BN45" s="28"/>
      <c r="BO45" s="28"/>
      <c r="BP45" s="28"/>
      <c r="BQ45" s="92"/>
      <c r="BR45" s="186">
        <f>((L43*12)/$Q$26)</f>
        <v>240.26</v>
      </c>
      <c r="BS45" s="42"/>
      <c r="BT45" s="77"/>
      <c r="BU45" s="28"/>
      <c r="BV45" s="31"/>
      <c r="BX45" s="10" t="s">
        <v>3</v>
      </c>
      <c r="BY45" s="14"/>
      <c r="BZ45" s="89"/>
      <c r="CA45" s="7">
        <v>12.67</v>
      </c>
      <c r="CB45" s="7">
        <v>24.73</v>
      </c>
      <c r="CC45" s="7">
        <v>36.07</v>
      </c>
      <c r="CD45" s="7">
        <v>46.93</v>
      </c>
      <c r="CE45" s="7">
        <v>56.93</v>
      </c>
      <c r="CF45" s="7">
        <v>66.87</v>
      </c>
      <c r="CG45" s="7">
        <v>76.33</v>
      </c>
      <c r="CH45" s="7">
        <v>85.4</v>
      </c>
      <c r="CI45" s="113">
        <v>94.3</v>
      </c>
      <c r="CJ45" s="7">
        <v>103.2</v>
      </c>
      <c r="CK45" s="7">
        <v>119.93</v>
      </c>
      <c r="CL45" s="7">
        <v>127.93</v>
      </c>
      <c r="CM45" s="7">
        <v>135.93</v>
      </c>
      <c r="CN45" s="153">
        <v>143.7</v>
      </c>
      <c r="CO45" s="46">
        <v>151.47</v>
      </c>
      <c r="CP45" s="47">
        <v>181.13</v>
      </c>
      <c r="CQ45" s="89"/>
      <c r="CR45" s="7">
        <v>16.8</v>
      </c>
      <c r="CS45" s="7">
        <v>30.29</v>
      </c>
      <c r="CT45" s="7">
        <v>36.3</v>
      </c>
      <c r="CU45" s="7">
        <v>42.02</v>
      </c>
      <c r="CV45" s="7">
        <v>46.22</v>
      </c>
      <c r="CW45" s="7">
        <v>50.42</v>
      </c>
      <c r="CX45" s="7">
        <v>54.02</v>
      </c>
      <c r="CY45" s="7">
        <v>57.62</v>
      </c>
      <c r="CZ45" s="7">
        <v>60.5</v>
      </c>
      <c r="DA45" s="7">
        <v>63.37</v>
      </c>
      <c r="DB45" s="7"/>
      <c r="DC45" s="7"/>
      <c r="DE45" s="28"/>
      <c r="DF45" s="7">
        <v>9.95</v>
      </c>
      <c r="DG45" s="7">
        <v>18.37</v>
      </c>
      <c r="DH45" s="28"/>
      <c r="DI45" s="7">
        <v>8.64</v>
      </c>
      <c r="DJ45" s="7">
        <v>16.45</v>
      </c>
      <c r="DK45" s="7">
        <v>36.79</v>
      </c>
      <c r="DL45" s="28"/>
      <c r="DM45" s="28"/>
      <c r="DN45" s="28"/>
      <c r="DO45" s="28"/>
      <c r="DP45" s="28"/>
      <c r="DQ45" s="28"/>
      <c r="DR45" s="28"/>
      <c r="DS45" s="28"/>
      <c r="DT45" s="28"/>
      <c r="DU45" s="92" t="e">
        <f>#REF!</f>
        <v>#REF!</v>
      </c>
      <c r="DV45" s="42" t="e">
        <f>((#REF!*$BQ$27)/$BR$27)</f>
        <v>#REF!</v>
      </c>
      <c r="DW45" s="42" t="e">
        <f>((#REF!*$BQ$27)/$BS$27)</f>
        <v>#REF!</v>
      </c>
      <c r="DX45" s="77" t="e">
        <f>((#REF!*$BQ$27)/$BT$27)</f>
        <v>#REF!</v>
      </c>
      <c r="DY45" s="28"/>
      <c r="DZ45" s="31"/>
      <c r="EB45" s="10" t="s">
        <v>3</v>
      </c>
      <c r="EC45" s="14"/>
      <c r="ED45" s="89"/>
      <c r="EE45" s="7">
        <v>20.18</v>
      </c>
      <c r="EF45" s="7">
        <v>34.08</v>
      </c>
      <c r="EG45" s="7">
        <v>41.25</v>
      </c>
      <c r="EH45" s="7">
        <v>55.72</v>
      </c>
      <c r="EI45" s="7">
        <v>66.07</v>
      </c>
      <c r="EJ45" s="7">
        <v>76.34</v>
      </c>
      <c r="EK45" s="7">
        <v>86.52</v>
      </c>
      <c r="EL45" s="7">
        <v>96.26</v>
      </c>
      <c r="EM45" s="113">
        <v>105.03</v>
      </c>
      <c r="EN45" s="7">
        <v>113.8</v>
      </c>
      <c r="EO45" s="7">
        <v>131.87</v>
      </c>
      <c r="EP45" s="7">
        <v>139.52</v>
      </c>
      <c r="EQ45" s="7">
        <v>147.17</v>
      </c>
      <c r="ER45" s="46">
        <v>154.44</v>
      </c>
      <c r="ES45" s="46">
        <v>161.71</v>
      </c>
      <c r="ET45" s="47">
        <v>185.96</v>
      </c>
      <c r="EU45" s="89"/>
      <c r="EV45" s="7">
        <v>19.24</v>
      </c>
      <c r="EW45" s="7">
        <v>34.69</v>
      </c>
      <c r="EX45" s="7">
        <v>41.58</v>
      </c>
      <c r="EY45" s="7">
        <v>48.13</v>
      </c>
      <c r="EZ45" s="7">
        <v>52.94</v>
      </c>
      <c r="FA45" s="7">
        <v>57.76</v>
      </c>
      <c r="FB45" s="7">
        <v>61.88</v>
      </c>
      <c r="FC45" s="7">
        <v>66</v>
      </c>
      <c r="FD45" s="7">
        <v>69.3</v>
      </c>
      <c r="FE45" s="7">
        <v>72.59</v>
      </c>
      <c r="FF45" s="7"/>
      <c r="FG45" s="7"/>
      <c r="FI45" s="28"/>
      <c r="FJ45" s="7">
        <v>11.4</v>
      </c>
      <c r="FK45" s="7">
        <v>21.04</v>
      </c>
      <c r="FL45" s="28"/>
      <c r="FM45" s="7">
        <v>9.89</v>
      </c>
      <c r="FN45" s="7">
        <v>18.85</v>
      </c>
      <c r="FO45" s="7">
        <v>42.14</v>
      </c>
      <c r="FP45" s="28"/>
      <c r="FQ45" s="28"/>
      <c r="FR45" s="28"/>
      <c r="FS45" s="28"/>
      <c r="FT45" s="28"/>
      <c r="FU45" s="28"/>
      <c r="FV45" s="28"/>
      <c r="FW45" s="28"/>
      <c r="FX45" s="28"/>
      <c r="FY45" s="89"/>
      <c r="FZ45" s="92">
        <f>DT43</f>
        <v>0</v>
      </c>
      <c r="GA45" s="42">
        <f>((DT43*$BQ$27)/$BR$27)</f>
        <v>0</v>
      </c>
      <c r="GB45" s="42" t="e">
        <f>((DT43*$BQ$27)/$BS$27)</f>
        <v>#DIV/0!</v>
      </c>
      <c r="GC45" s="77" t="e">
        <f>((DT43*$BQ$27)/$BT$27)</f>
        <v>#DIV/0!</v>
      </c>
      <c r="GD45" s="28"/>
      <c r="GE45" s="31"/>
      <c r="GG45" s="10" t="s">
        <v>3</v>
      </c>
      <c r="GH45" s="14"/>
      <c r="GI45" s="89"/>
      <c r="GJ45" s="7">
        <v>14.51</v>
      </c>
      <c r="GK45" s="7">
        <v>28.33</v>
      </c>
      <c r="GL45" s="7">
        <v>41.31</v>
      </c>
      <c r="GM45" s="7">
        <v>53.76</v>
      </c>
      <c r="GN45" s="7">
        <v>65.21</v>
      </c>
      <c r="GO45" s="7">
        <v>76.59</v>
      </c>
      <c r="GP45" s="7">
        <v>87.44</v>
      </c>
      <c r="GQ45" s="7">
        <v>97.82</v>
      </c>
      <c r="GR45" s="113">
        <v>108.02</v>
      </c>
      <c r="GS45" s="7">
        <v>118.21</v>
      </c>
      <c r="GT45" s="7">
        <v>137.38</v>
      </c>
      <c r="GU45" s="7">
        <v>146.54</v>
      </c>
      <c r="GV45" s="7">
        <v>155.71</v>
      </c>
      <c r="GW45" s="46">
        <v>164.6</v>
      </c>
      <c r="GX45" s="46">
        <v>173.5</v>
      </c>
      <c r="GY45" s="47">
        <v>207.48</v>
      </c>
      <c r="GZ45" s="89"/>
      <c r="HA45" s="7">
        <v>19.24</v>
      </c>
      <c r="HB45" s="7">
        <v>34.69</v>
      </c>
      <c r="HC45" s="7">
        <v>41.58</v>
      </c>
      <c r="HD45" s="7">
        <v>48.13</v>
      </c>
      <c r="HE45" s="7">
        <v>52.94</v>
      </c>
      <c r="HF45" s="7">
        <v>57.76</v>
      </c>
      <c r="HG45" s="7">
        <v>61.88</v>
      </c>
      <c r="HH45" s="7">
        <v>66</v>
      </c>
      <c r="HI45" s="7">
        <v>69.3</v>
      </c>
      <c r="HJ45" s="7">
        <v>72.59</v>
      </c>
      <c r="HK45" s="7"/>
      <c r="HL45" s="7"/>
      <c r="HN45" s="28"/>
      <c r="HO45" s="7">
        <v>11.4</v>
      </c>
      <c r="HP45" s="7">
        <v>21.04</v>
      </c>
      <c r="HQ45" s="28"/>
      <c r="HR45" s="7">
        <v>9.89</v>
      </c>
      <c r="HS45" s="7">
        <v>18.85</v>
      </c>
      <c r="HT45" s="7">
        <v>42.14</v>
      </c>
      <c r="HU45" s="28"/>
      <c r="HV45" s="28"/>
      <c r="HW45" s="28"/>
      <c r="HX45" s="28"/>
      <c r="HY45" s="99" t="s">
        <v>132</v>
      </c>
      <c r="HZ45" s="28" t="s">
        <v>129</v>
      </c>
      <c r="IB45" s="28"/>
      <c r="IC45" s="28"/>
      <c r="ID45" s="89"/>
      <c r="IE45" s="92">
        <f>FX43</f>
        <v>0</v>
      </c>
      <c r="IF45" s="42">
        <f>((FX43*$BQ$27)/$BR$27)</f>
        <v>0</v>
      </c>
      <c r="IG45" s="42" t="e">
        <f>((FX43*$BQ$27)/$BS$27)</f>
        <v>#DIV/0!</v>
      </c>
      <c r="IH45" s="77" t="e">
        <f>((FX43*$BQ$27)/$BT$27)</f>
        <v>#DIV/0!</v>
      </c>
      <c r="II45" s="28"/>
      <c r="IJ45" s="31"/>
    </row>
    <row r="46" spans="10:244" ht="12.75">
      <c r="J46" s="23" t="s">
        <v>52</v>
      </c>
      <c r="K46" s="39">
        <f>SUM(K28+K29+K30+K31+K34+K35+K36+K37+K40+K41+K42+K43)</f>
        <v>0</v>
      </c>
      <c r="M46" s="38">
        <f>SUM(M28:M43)</f>
        <v>0</v>
      </c>
      <c r="O46" s="210" t="s">
        <v>122</v>
      </c>
      <c r="P46" s="210"/>
      <c r="Q46" s="210"/>
      <c r="R46" s="210"/>
      <c r="U46" s="88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G46" s="89"/>
      <c r="AH46" s="89"/>
      <c r="AI46" s="89"/>
      <c r="AJ46" s="89"/>
      <c r="AK46" s="89"/>
      <c r="AN46" s="89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B46" s="28"/>
      <c r="BC46" s="89"/>
      <c r="BD46" s="89"/>
      <c r="BE46" s="28"/>
      <c r="BF46" s="89"/>
      <c r="BG46" s="89"/>
      <c r="BH46" s="89"/>
      <c r="BI46" s="28"/>
      <c r="BJ46" s="28"/>
      <c r="BK46" s="28"/>
      <c r="BL46" s="28"/>
      <c r="BM46" s="28"/>
      <c r="BN46" s="28"/>
      <c r="BO46" s="28"/>
      <c r="BP46" s="28"/>
      <c r="BQ46" s="28"/>
      <c r="BR46" s="181"/>
      <c r="BS46" s="28"/>
      <c r="BT46" s="28"/>
      <c r="BU46" s="28"/>
      <c r="BV46" s="31"/>
      <c r="BX46" s="88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J46" s="89"/>
      <c r="CK46" s="89"/>
      <c r="CL46" s="89"/>
      <c r="CM46" s="89"/>
      <c r="CN46" s="89"/>
      <c r="CQ46" s="89"/>
      <c r="CR46" s="95"/>
      <c r="CS46" s="95"/>
      <c r="CT46" s="95"/>
      <c r="CU46" s="95"/>
      <c r="CV46" s="95"/>
      <c r="CW46" s="95"/>
      <c r="CX46" s="95"/>
      <c r="CY46" s="95"/>
      <c r="CZ46" s="95"/>
      <c r="DA46" s="95"/>
      <c r="DB46" s="95"/>
      <c r="DC46" s="95"/>
      <c r="DE46" s="28"/>
      <c r="DF46" s="89"/>
      <c r="DG46" s="89"/>
      <c r="DH46" s="28"/>
      <c r="DI46" s="89"/>
      <c r="DJ46" s="89"/>
      <c r="DK46" s="89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31"/>
      <c r="EB46" s="88"/>
      <c r="EC46" s="89"/>
      <c r="ED46" s="89"/>
      <c r="EE46" s="89"/>
      <c r="EF46" s="89"/>
      <c r="EG46" s="89"/>
      <c r="EH46" s="89"/>
      <c r="EI46" s="89"/>
      <c r="EJ46" s="89"/>
      <c r="EK46" s="89"/>
      <c r="EL46" s="89"/>
      <c r="EM46" s="174"/>
      <c r="EN46" s="89"/>
      <c r="EO46" s="89"/>
      <c r="EP46" s="89"/>
      <c r="EQ46" s="89"/>
      <c r="ER46" s="99"/>
      <c r="EU46" s="89"/>
      <c r="EV46" s="95"/>
      <c r="EW46" s="95"/>
      <c r="EX46" s="95"/>
      <c r="EY46" s="95"/>
      <c r="EZ46" s="95"/>
      <c r="FA46" s="95"/>
      <c r="FB46" s="95"/>
      <c r="FC46" s="95"/>
      <c r="FD46" s="95"/>
      <c r="FE46" s="95"/>
      <c r="FF46" s="95"/>
      <c r="FG46" s="95"/>
      <c r="FI46" s="28"/>
      <c r="FJ46" s="89"/>
      <c r="FK46" s="89"/>
      <c r="FL46" s="28"/>
      <c r="FM46" s="89"/>
      <c r="FN46" s="89"/>
      <c r="FO46" s="89"/>
      <c r="FP46" s="28"/>
      <c r="FQ46" s="28"/>
      <c r="FR46" s="28"/>
      <c r="FS46" s="28"/>
      <c r="FT46" s="28"/>
      <c r="FU46" s="28"/>
      <c r="FV46" s="28"/>
      <c r="FW46" s="28"/>
      <c r="FX46" s="28"/>
      <c r="FY46" s="89"/>
      <c r="FZ46" s="28"/>
      <c r="GA46" s="28"/>
      <c r="GB46" s="28"/>
      <c r="GC46" s="28"/>
      <c r="GD46" s="28"/>
      <c r="GE46" s="31"/>
      <c r="GG46" s="88"/>
      <c r="GH46" s="89"/>
      <c r="GI46" s="89"/>
      <c r="GJ46" s="89"/>
      <c r="GK46" s="89"/>
      <c r="GL46" s="89"/>
      <c r="GM46" s="89"/>
      <c r="GN46" s="89"/>
      <c r="GO46" s="89"/>
      <c r="GP46" s="89"/>
      <c r="GQ46" s="89"/>
      <c r="GR46" s="174"/>
      <c r="GS46" s="89"/>
      <c r="GT46" s="89"/>
      <c r="GU46" s="89"/>
      <c r="GV46" s="89"/>
      <c r="GW46" s="99"/>
      <c r="GZ46" s="89"/>
      <c r="HA46" s="95"/>
      <c r="HB46" s="95"/>
      <c r="HC46" s="95"/>
      <c r="HD46" s="95"/>
      <c r="HE46" s="95"/>
      <c r="HF46" s="95"/>
      <c r="HG46" s="95"/>
      <c r="HH46" s="95"/>
      <c r="HI46" s="95"/>
      <c r="HJ46" s="95"/>
      <c r="HK46" s="95"/>
      <c r="HL46" s="95"/>
      <c r="HN46" s="28"/>
      <c r="HO46" s="89"/>
      <c r="HP46" s="89"/>
      <c r="HQ46" s="28"/>
      <c r="HR46" s="89"/>
      <c r="HS46" s="89"/>
      <c r="HT46" s="89"/>
      <c r="HU46" s="28"/>
      <c r="HV46" s="28"/>
      <c r="HW46" s="28"/>
      <c r="HX46" s="28"/>
      <c r="HY46" s="99" t="s">
        <v>133</v>
      </c>
      <c r="HZ46" s="28" t="s">
        <v>129</v>
      </c>
      <c r="IB46" s="28"/>
      <c r="IC46" s="28"/>
      <c r="ID46" s="89"/>
      <c r="IE46" s="28"/>
      <c r="IF46" s="28"/>
      <c r="IG46" s="28"/>
      <c r="IH46" s="28"/>
      <c r="II46" s="28"/>
      <c r="IJ46" s="31"/>
    </row>
    <row r="47" spans="21:244" ht="7.5" customHeight="1">
      <c r="U47" s="88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G47" s="89"/>
      <c r="AH47" s="89"/>
      <c r="AI47" s="89"/>
      <c r="AJ47" s="89"/>
      <c r="AK47" s="89"/>
      <c r="AN47" s="89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B47" s="28"/>
      <c r="BC47" s="89"/>
      <c r="BD47" s="89"/>
      <c r="BE47" s="28"/>
      <c r="BF47" s="89"/>
      <c r="BG47" s="89"/>
      <c r="BH47" s="89"/>
      <c r="BI47" s="28"/>
      <c r="BJ47" s="28"/>
      <c r="BK47" s="28"/>
      <c r="BL47" s="28"/>
      <c r="BM47" s="28"/>
      <c r="BN47" s="28"/>
      <c r="BO47" s="28"/>
      <c r="BP47" s="28"/>
      <c r="BQ47" s="28"/>
      <c r="BR47" s="181"/>
      <c r="BS47" s="28"/>
      <c r="BT47" s="28"/>
      <c r="BU47" s="28"/>
      <c r="BV47" s="31"/>
      <c r="BX47" s="88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J47" s="89"/>
      <c r="CK47" s="89"/>
      <c r="CL47" s="89"/>
      <c r="CM47" s="89"/>
      <c r="CN47" s="89"/>
      <c r="CQ47" s="89"/>
      <c r="CR47" s="95"/>
      <c r="CS47" s="95"/>
      <c r="CT47" s="95"/>
      <c r="CU47" s="95"/>
      <c r="CV47" s="95"/>
      <c r="CW47" s="95"/>
      <c r="CX47" s="95"/>
      <c r="CY47" s="95"/>
      <c r="CZ47" s="95"/>
      <c r="DA47" s="95"/>
      <c r="DB47" s="95"/>
      <c r="DC47" s="95"/>
      <c r="DE47" s="28"/>
      <c r="DF47" s="89"/>
      <c r="DG47" s="89"/>
      <c r="DH47" s="28"/>
      <c r="DI47" s="89"/>
      <c r="DJ47" s="89"/>
      <c r="DK47" s="89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31"/>
      <c r="EB47" s="88"/>
      <c r="EC47" s="89"/>
      <c r="ED47" s="89"/>
      <c r="EE47" s="89"/>
      <c r="EF47" s="89"/>
      <c r="EG47" s="89"/>
      <c r="EH47" s="89"/>
      <c r="EI47" s="89"/>
      <c r="EJ47" s="89"/>
      <c r="EK47" s="89"/>
      <c r="EL47" s="89"/>
      <c r="EM47" s="174"/>
      <c r="EN47" s="89"/>
      <c r="EO47" s="89"/>
      <c r="EP47" s="89"/>
      <c r="EQ47" s="89"/>
      <c r="ER47" s="99"/>
      <c r="EU47" s="89"/>
      <c r="EV47" s="95"/>
      <c r="EW47" s="95"/>
      <c r="EX47" s="95"/>
      <c r="EY47" s="95"/>
      <c r="EZ47" s="95"/>
      <c r="FA47" s="95"/>
      <c r="FB47" s="95"/>
      <c r="FC47" s="95"/>
      <c r="FD47" s="95"/>
      <c r="FE47" s="95"/>
      <c r="FF47" s="95"/>
      <c r="FG47" s="95"/>
      <c r="FI47" s="28"/>
      <c r="FJ47" s="89"/>
      <c r="FK47" s="89"/>
      <c r="FL47" s="28"/>
      <c r="FM47" s="89"/>
      <c r="FN47" s="89"/>
      <c r="FO47" s="89"/>
      <c r="FP47" s="28"/>
      <c r="FQ47" s="28"/>
      <c r="FR47" s="28"/>
      <c r="FS47" s="28"/>
      <c r="FT47" s="28"/>
      <c r="FU47" s="28"/>
      <c r="FV47" s="28"/>
      <c r="FW47" s="28"/>
      <c r="FX47" s="28"/>
      <c r="FY47" s="89"/>
      <c r="FZ47" s="28"/>
      <c r="GA47" s="28"/>
      <c r="GB47" s="28"/>
      <c r="GC47" s="28"/>
      <c r="GD47" s="28"/>
      <c r="GE47" s="31"/>
      <c r="GG47" s="88"/>
      <c r="GH47" s="89"/>
      <c r="GI47" s="89"/>
      <c r="GJ47" s="89"/>
      <c r="GK47" s="89"/>
      <c r="GL47" s="89"/>
      <c r="GM47" s="89"/>
      <c r="GN47" s="89"/>
      <c r="GO47" s="89"/>
      <c r="GP47" s="89"/>
      <c r="GQ47" s="89"/>
      <c r="GR47" s="174"/>
      <c r="GS47" s="89"/>
      <c r="GT47" s="89"/>
      <c r="GU47" s="89"/>
      <c r="GV47" s="89"/>
      <c r="GW47" s="99"/>
      <c r="GZ47" s="89"/>
      <c r="HA47" s="95"/>
      <c r="HB47" s="95"/>
      <c r="HC47" s="95"/>
      <c r="HD47" s="95"/>
      <c r="HE47" s="95"/>
      <c r="HF47" s="95"/>
      <c r="HG47" s="95"/>
      <c r="HH47" s="95"/>
      <c r="HI47" s="95"/>
      <c r="HJ47" s="95"/>
      <c r="HK47" s="95"/>
      <c r="HL47" s="95"/>
      <c r="HN47" s="28"/>
      <c r="HO47" s="89"/>
      <c r="HP47" s="89"/>
      <c r="HQ47" s="28"/>
      <c r="HR47" s="89"/>
      <c r="HS47" s="89"/>
      <c r="HT47" s="89"/>
      <c r="HU47" s="28"/>
      <c r="HV47" s="28"/>
      <c r="HW47" s="28"/>
      <c r="HX47" s="28"/>
      <c r="HY47" s="99" t="s">
        <v>65</v>
      </c>
      <c r="HZ47" s="28" t="s">
        <v>129</v>
      </c>
      <c r="IB47" s="28"/>
      <c r="IC47" s="28"/>
      <c r="ID47" s="89"/>
      <c r="IE47" s="28"/>
      <c r="IF47" s="28"/>
      <c r="IG47" s="28"/>
      <c r="IH47" s="28"/>
      <c r="II47" s="28"/>
      <c r="IJ47" s="31"/>
    </row>
    <row r="48" spans="10:244" ht="12.75">
      <c r="J48" s="216" t="str">
        <f>IF(OR($K$46&lt;25,$L$12&lt;50,$R$12="Yes"),"COMPOSITE RATING NOT AVAILABLE DUE TO SIZE, EMPLOYER CONTRIBUTION LEVEL OR DUAL PLANS","")</f>
        <v>COMPOSITE RATING NOT AVAILABLE DUE TO SIZE, EMPLOYER CONTRIBUTION LEVEL OR DUAL PLANS</v>
      </c>
      <c r="K48" s="217"/>
      <c r="L48" s="217"/>
      <c r="M48" s="217"/>
      <c r="N48" s="217"/>
      <c r="O48" s="217"/>
      <c r="P48" s="217"/>
      <c r="Q48" s="218"/>
      <c r="R48" s="218"/>
      <c r="S48" s="81"/>
      <c r="U48" s="88"/>
      <c r="V48" s="89"/>
      <c r="W48" s="89"/>
      <c r="X48" s="90" t="s">
        <v>7</v>
      </c>
      <c r="Y48" s="90"/>
      <c r="Z48" s="90"/>
      <c r="AA48" s="90"/>
      <c r="AB48" s="90"/>
      <c r="AC48" s="90"/>
      <c r="AD48" s="90"/>
      <c r="AE48" s="90"/>
      <c r="AG48" s="90"/>
      <c r="AH48" s="90"/>
      <c r="AI48" s="90"/>
      <c r="AJ48" s="90"/>
      <c r="AK48" s="90"/>
      <c r="AN48" s="89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B48" s="28"/>
      <c r="BC48" s="89"/>
      <c r="BD48" s="89"/>
      <c r="BE48" s="28"/>
      <c r="BF48" s="89"/>
      <c r="BG48" s="89"/>
      <c r="BH48" s="89"/>
      <c r="BI48" s="28"/>
      <c r="BJ48" s="28"/>
      <c r="BK48" s="28"/>
      <c r="BL48" s="28"/>
      <c r="BM48" s="28"/>
      <c r="BN48" s="28"/>
      <c r="BO48" s="28"/>
      <c r="BP48" s="28"/>
      <c r="BQ48" s="28"/>
      <c r="BR48" s="181"/>
      <c r="BS48" s="28"/>
      <c r="BT48" s="28"/>
      <c r="BU48" s="28"/>
      <c r="BV48" s="31"/>
      <c r="BX48" s="88"/>
      <c r="BY48" s="89"/>
      <c r="BZ48" s="89"/>
      <c r="CA48" s="90" t="s">
        <v>7</v>
      </c>
      <c r="CB48" s="90"/>
      <c r="CC48" s="90"/>
      <c r="CD48" s="90"/>
      <c r="CE48" s="90"/>
      <c r="CF48" s="90"/>
      <c r="CG48" s="90"/>
      <c r="CH48" s="90"/>
      <c r="CJ48" s="90"/>
      <c r="CK48" s="90"/>
      <c r="CL48" s="90"/>
      <c r="CM48" s="90"/>
      <c r="CN48" s="90"/>
      <c r="CQ48" s="89"/>
      <c r="CR48" s="95"/>
      <c r="CS48" s="95"/>
      <c r="CT48" s="95"/>
      <c r="CU48" s="95"/>
      <c r="CV48" s="95"/>
      <c r="CW48" s="95"/>
      <c r="CX48" s="95"/>
      <c r="CY48" s="95"/>
      <c r="CZ48" s="95"/>
      <c r="DA48" s="95"/>
      <c r="DB48" s="95"/>
      <c r="DC48" s="95"/>
      <c r="DE48" s="28"/>
      <c r="DF48" s="89"/>
      <c r="DG48" s="89"/>
      <c r="DH48" s="28"/>
      <c r="DI48" s="89"/>
      <c r="DJ48" s="89"/>
      <c r="DK48" s="89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31"/>
      <c r="EB48" s="88"/>
      <c r="EC48" s="89"/>
      <c r="ED48" s="89"/>
      <c r="EE48" s="90" t="s">
        <v>7</v>
      </c>
      <c r="EF48" s="90"/>
      <c r="EG48" s="90"/>
      <c r="EH48" s="90"/>
      <c r="EI48" s="90"/>
      <c r="EJ48" s="90"/>
      <c r="EK48" s="90"/>
      <c r="EL48" s="90"/>
      <c r="EM48" s="174"/>
      <c r="EN48" s="90"/>
      <c r="EO48" s="90"/>
      <c r="EP48" s="90"/>
      <c r="EQ48" s="90"/>
      <c r="ER48" s="180"/>
      <c r="EU48" s="89"/>
      <c r="EV48" s="95"/>
      <c r="EW48" s="95"/>
      <c r="EX48" s="95"/>
      <c r="EY48" s="95"/>
      <c r="EZ48" s="95"/>
      <c r="FA48" s="95"/>
      <c r="FB48" s="95"/>
      <c r="FC48" s="95"/>
      <c r="FD48" s="95"/>
      <c r="FE48" s="95"/>
      <c r="FF48" s="95"/>
      <c r="FG48" s="95"/>
      <c r="FI48" s="28"/>
      <c r="FJ48" s="89"/>
      <c r="FK48" s="89"/>
      <c r="FL48" s="28"/>
      <c r="FM48" s="89"/>
      <c r="FN48" s="89"/>
      <c r="FO48" s="89"/>
      <c r="FP48" s="28"/>
      <c r="FQ48" s="28"/>
      <c r="FR48" s="28"/>
      <c r="FS48" s="28"/>
      <c r="FT48" s="28"/>
      <c r="FU48" s="28"/>
      <c r="FV48" s="28"/>
      <c r="FW48" s="28"/>
      <c r="FX48" s="28"/>
      <c r="FY48" s="89"/>
      <c r="FZ48" s="28"/>
      <c r="GA48" s="28"/>
      <c r="GB48" s="28"/>
      <c r="GC48" s="28"/>
      <c r="GD48" s="28"/>
      <c r="GE48" s="31"/>
      <c r="GG48" s="88"/>
      <c r="GH48" s="89"/>
      <c r="GI48" s="89"/>
      <c r="GJ48" s="90" t="s">
        <v>7</v>
      </c>
      <c r="GK48" s="90"/>
      <c r="GL48" s="90"/>
      <c r="GM48" s="90"/>
      <c r="GN48" s="90"/>
      <c r="GO48" s="90"/>
      <c r="GP48" s="90"/>
      <c r="GQ48" s="90"/>
      <c r="GR48" s="174"/>
      <c r="GS48" s="90"/>
      <c r="GT48" s="90"/>
      <c r="GU48" s="90"/>
      <c r="GV48" s="90"/>
      <c r="GW48" s="180"/>
      <c r="GZ48" s="89"/>
      <c r="HA48" s="95"/>
      <c r="HB48" s="95"/>
      <c r="HC48" s="95"/>
      <c r="HD48" s="95"/>
      <c r="HE48" s="95"/>
      <c r="HF48" s="95"/>
      <c r="HG48" s="95"/>
      <c r="HH48" s="95"/>
      <c r="HI48" s="95"/>
      <c r="HJ48" s="95"/>
      <c r="HK48" s="95"/>
      <c r="HL48" s="95"/>
      <c r="HN48" s="28"/>
      <c r="HO48" s="89"/>
      <c r="HP48" s="89"/>
      <c r="HQ48" s="28"/>
      <c r="HR48" s="89"/>
      <c r="HS48" s="89"/>
      <c r="HT48" s="89"/>
      <c r="HU48" s="28"/>
      <c r="HV48" s="28"/>
      <c r="HW48" s="28"/>
      <c r="HX48" s="28"/>
      <c r="HY48" s="89" t="s">
        <v>60</v>
      </c>
      <c r="HZ48" s="28" t="s">
        <v>129</v>
      </c>
      <c r="IB48" s="28"/>
      <c r="IC48" s="28"/>
      <c r="ID48" s="89"/>
      <c r="IE48" s="28"/>
      <c r="IF48" s="28"/>
      <c r="IG48" s="28"/>
      <c r="IH48" s="28"/>
      <c r="II48" s="28"/>
      <c r="IJ48" s="31"/>
    </row>
    <row r="49" spans="10:244" ht="6" customHeight="1">
      <c r="J49" s="27"/>
      <c r="K49" s="28"/>
      <c r="L49" s="36"/>
      <c r="M49" s="36"/>
      <c r="N49" s="36"/>
      <c r="O49" s="219"/>
      <c r="P49" s="219"/>
      <c r="Q49" s="219"/>
      <c r="R49" s="219"/>
      <c r="S49" s="31"/>
      <c r="U49" s="88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G49" s="89"/>
      <c r="AH49" s="89"/>
      <c r="AI49" s="89"/>
      <c r="AJ49" s="89"/>
      <c r="AK49" s="89"/>
      <c r="AN49" s="89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B49" s="28"/>
      <c r="BC49" s="89"/>
      <c r="BD49" s="89"/>
      <c r="BE49" s="28"/>
      <c r="BF49" s="89"/>
      <c r="BG49" s="89"/>
      <c r="BH49" s="89"/>
      <c r="BI49" s="28"/>
      <c r="BJ49" s="28"/>
      <c r="BK49" s="28"/>
      <c r="BL49" s="28"/>
      <c r="BM49" s="28"/>
      <c r="BN49" s="28"/>
      <c r="BO49" s="28"/>
      <c r="BP49" s="28"/>
      <c r="BQ49" s="28"/>
      <c r="BR49" s="181"/>
      <c r="BS49" s="28"/>
      <c r="BT49" s="28"/>
      <c r="BU49" s="28"/>
      <c r="BV49" s="31"/>
      <c r="BX49" s="88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J49" s="89"/>
      <c r="CK49" s="89"/>
      <c r="CL49" s="89"/>
      <c r="CM49" s="89"/>
      <c r="CN49" s="89"/>
      <c r="CQ49" s="89"/>
      <c r="CR49" s="95"/>
      <c r="CS49" s="95"/>
      <c r="CT49" s="95"/>
      <c r="CU49" s="95"/>
      <c r="CV49" s="95"/>
      <c r="CW49" s="95"/>
      <c r="CX49" s="95"/>
      <c r="CY49" s="95"/>
      <c r="CZ49" s="95"/>
      <c r="DA49" s="95"/>
      <c r="DB49" s="95"/>
      <c r="DC49" s="95"/>
      <c r="DE49" s="28"/>
      <c r="DF49" s="89"/>
      <c r="DG49" s="89"/>
      <c r="DH49" s="28"/>
      <c r="DI49" s="89"/>
      <c r="DJ49" s="89"/>
      <c r="DK49" s="89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31"/>
      <c r="EB49" s="88"/>
      <c r="EC49" s="89"/>
      <c r="ED49" s="89"/>
      <c r="EE49" s="89"/>
      <c r="EF49" s="89"/>
      <c r="EG49" s="89"/>
      <c r="EH49" s="89"/>
      <c r="EI49" s="89"/>
      <c r="EJ49" s="89"/>
      <c r="EK49" s="89"/>
      <c r="EL49" s="89"/>
      <c r="EM49" s="174"/>
      <c r="EN49" s="89"/>
      <c r="EO49" s="89"/>
      <c r="EP49" s="89"/>
      <c r="EQ49" s="89"/>
      <c r="ER49" s="99"/>
      <c r="EU49" s="89"/>
      <c r="EV49" s="95"/>
      <c r="EW49" s="95"/>
      <c r="EX49" s="95"/>
      <c r="EY49" s="95"/>
      <c r="EZ49" s="95"/>
      <c r="FA49" s="95"/>
      <c r="FB49" s="95"/>
      <c r="FC49" s="95"/>
      <c r="FD49" s="95"/>
      <c r="FE49" s="95"/>
      <c r="FF49" s="95"/>
      <c r="FG49" s="95"/>
      <c r="FI49" s="28"/>
      <c r="FJ49" s="89"/>
      <c r="FK49" s="89"/>
      <c r="FL49" s="28"/>
      <c r="FM49" s="89"/>
      <c r="FN49" s="89"/>
      <c r="FO49" s="89"/>
      <c r="FP49" s="28"/>
      <c r="FQ49" s="28"/>
      <c r="FR49" s="28"/>
      <c r="FS49" s="28"/>
      <c r="FT49" s="28"/>
      <c r="FU49" s="28"/>
      <c r="FV49" s="28"/>
      <c r="FW49" s="28"/>
      <c r="FX49" s="28"/>
      <c r="FY49" s="89"/>
      <c r="FZ49" s="28"/>
      <c r="GA49" s="28"/>
      <c r="GB49" s="28"/>
      <c r="GC49" s="28"/>
      <c r="GD49" s="28"/>
      <c r="GE49" s="31"/>
      <c r="GG49" s="88"/>
      <c r="GH49" s="89"/>
      <c r="GI49" s="89"/>
      <c r="GJ49" s="89"/>
      <c r="GK49" s="89"/>
      <c r="GL49" s="89"/>
      <c r="GM49" s="89"/>
      <c r="GN49" s="89"/>
      <c r="GO49" s="89"/>
      <c r="GP49" s="89"/>
      <c r="GQ49" s="89"/>
      <c r="GR49" s="174"/>
      <c r="GS49" s="89"/>
      <c r="GT49" s="89"/>
      <c r="GU49" s="89"/>
      <c r="GV49" s="89"/>
      <c r="GW49" s="99"/>
      <c r="GZ49" s="89"/>
      <c r="HA49" s="95"/>
      <c r="HB49" s="95"/>
      <c r="HC49" s="95"/>
      <c r="HD49" s="95"/>
      <c r="HE49" s="95"/>
      <c r="HF49" s="95"/>
      <c r="HG49" s="95"/>
      <c r="HH49" s="95"/>
      <c r="HI49" s="95"/>
      <c r="HJ49" s="95"/>
      <c r="HK49" s="95"/>
      <c r="HL49" s="95"/>
      <c r="HN49" s="28"/>
      <c r="HO49" s="89"/>
      <c r="HP49" s="89"/>
      <c r="HQ49" s="28"/>
      <c r="HR49" s="89"/>
      <c r="HS49" s="89"/>
      <c r="HT49" s="89"/>
      <c r="HU49" s="28"/>
      <c r="HV49" s="28"/>
      <c r="HW49" s="28"/>
      <c r="HX49" s="28"/>
      <c r="HY49" s="89" t="s">
        <v>134</v>
      </c>
      <c r="HZ49" s="28" t="s">
        <v>129</v>
      </c>
      <c r="IB49" s="28"/>
      <c r="IC49" s="28"/>
      <c r="ID49" s="89"/>
      <c r="IE49" s="28"/>
      <c r="IF49" s="28"/>
      <c r="IG49" s="28"/>
      <c r="IH49" s="28"/>
      <c r="II49" s="28"/>
      <c r="IJ49" s="31"/>
    </row>
    <row r="50" spans="10:244" ht="12.75">
      <c r="J50" s="27"/>
      <c r="K50" s="36" t="s">
        <v>56</v>
      </c>
      <c r="L50" s="36" t="s">
        <v>56</v>
      </c>
      <c r="M50" s="36" t="s">
        <v>58</v>
      </c>
      <c r="N50" s="29"/>
      <c r="O50" s="206" t="s">
        <v>49</v>
      </c>
      <c r="P50" s="207"/>
      <c r="Q50" s="207"/>
      <c r="R50" s="208"/>
      <c r="S50" s="31"/>
      <c r="U50" s="27"/>
      <c r="V50" s="28"/>
      <c r="W50" s="89"/>
      <c r="X50" s="3" t="s">
        <v>5</v>
      </c>
      <c r="Y50" s="3"/>
      <c r="Z50" s="3"/>
      <c r="AA50" s="3"/>
      <c r="AB50" s="3"/>
      <c r="AC50" s="3"/>
      <c r="AD50" s="3"/>
      <c r="AE50" s="3"/>
      <c r="AG50" s="3"/>
      <c r="AH50" s="3"/>
      <c r="AI50" s="3"/>
      <c r="AJ50" s="3"/>
      <c r="AK50" s="150"/>
      <c r="AN50" s="89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B50" s="28"/>
      <c r="BC50" s="89"/>
      <c r="BD50" s="89"/>
      <c r="BE50" s="28"/>
      <c r="BF50" s="89"/>
      <c r="BG50" s="89"/>
      <c r="BH50" s="89"/>
      <c r="BI50" s="28"/>
      <c r="BJ50" s="28"/>
      <c r="BK50" s="28"/>
      <c r="BL50" s="28"/>
      <c r="BM50" s="28"/>
      <c r="BN50" s="28"/>
      <c r="BO50" s="28"/>
      <c r="BP50" s="28"/>
      <c r="BQ50" s="28"/>
      <c r="BR50" s="186" t="e">
        <f>((M52*12)/$Q$26)</f>
        <v>#VALUE!</v>
      </c>
      <c r="BS50" s="28"/>
      <c r="BT50" s="28"/>
      <c r="BU50" s="28"/>
      <c r="BV50" s="31"/>
      <c r="BX50" s="27"/>
      <c r="BY50" s="28"/>
      <c r="BZ50" s="89"/>
      <c r="CA50" s="3" t="s">
        <v>5</v>
      </c>
      <c r="CB50" s="3"/>
      <c r="CC50" s="3"/>
      <c r="CD50" s="3"/>
      <c r="CE50" s="3"/>
      <c r="CF50" s="3"/>
      <c r="CG50" s="3"/>
      <c r="CH50" s="3"/>
      <c r="CJ50" s="3"/>
      <c r="CK50" s="3"/>
      <c r="CL50" s="3"/>
      <c r="CM50" s="3"/>
      <c r="CN50" s="150"/>
      <c r="CQ50" s="89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E50" s="28"/>
      <c r="DF50" s="89"/>
      <c r="DG50" s="89"/>
      <c r="DH50" s="28"/>
      <c r="DI50" s="89"/>
      <c r="DJ50" s="89"/>
      <c r="DK50" s="89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31"/>
      <c r="EB50" s="27"/>
      <c r="EC50" s="28"/>
      <c r="ED50" s="89"/>
      <c r="EE50" s="3" t="s">
        <v>5</v>
      </c>
      <c r="EF50" s="3"/>
      <c r="EG50" s="3"/>
      <c r="EH50" s="3"/>
      <c r="EI50" s="3"/>
      <c r="EJ50" s="3"/>
      <c r="EK50" s="3"/>
      <c r="EL50" s="3"/>
      <c r="EM50" s="174"/>
      <c r="EN50" s="3"/>
      <c r="EO50" s="3"/>
      <c r="EP50" s="3"/>
      <c r="EQ50" s="3"/>
      <c r="ER50" s="179"/>
      <c r="EU50" s="89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I50" s="28"/>
      <c r="FJ50" s="89"/>
      <c r="FK50" s="89"/>
      <c r="FL50" s="28"/>
      <c r="FM50" s="89"/>
      <c r="FN50" s="89"/>
      <c r="FO50" s="89"/>
      <c r="FP50" s="28"/>
      <c r="FQ50" s="28"/>
      <c r="FR50" s="28"/>
      <c r="FS50" s="28"/>
      <c r="FT50" s="28"/>
      <c r="FU50" s="28"/>
      <c r="FV50" s="28"/>
      <c r="FW50" s="28"/>
      <c r="FX50" s="28"/>
      <c r="FY50" s="89"/>
      <c r="FZ50" s="28"/>
      <c r="GA50" s="28"/>
      <c r="GB50" s="28"/>
      <c r="GC50" s="28"/>
      <c r="GD50" s="28"/>
      <c r="GE50" s="31"/>
      <c r="GG50" s="27"/>
      <c r="GH50" s="28"/>
      <c r="GI50" s="89"/>
      <c r="GJ50" s="3" t="s">
        <v>5</v>
      </c>
      <c r="GK50" s="3"/>
      <c r="GL50" s="3"/>
      <c r="GM50" s="3"/>
      <c r="GN50" s="3"/>
      <c r="GO50" s="3"/>
      <c r="GP50" s="3"/>
      <c r="GQ50" s="3"/>
      <c r="GR50" s="174"/>
      <c r="GS50" s="3"/>
      <c r="GT50" s="3"/>
      <c r="GU50" s="3"/>
      <c r="GV50" s="3"/>
      <c r="GW50" s="179"/>
      <c r="GZ50" s="89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N50" s="28"/>
      <c r="HO50" s="89"/>
      <c r="HP50" s="89"/>
      <c r="HQ50" s="28"/>
      <c r="HR50" s="89"/>
      <c r="HS50" s="89"/>
      <c r="HT50" s="89"/>
      <c r="HU50" s="28"/>
      <c r="HV50" s="28"/>
      <c r="HW50" s="28"/>
      <c r="HX50" s="28"/>
      <c r="HY50" s="89" t="s">
        <v>135</v>
      </c>
      <c r="HZ50" s="28" t="s">
        <v>129</v>
      </c>
      <c r="IB50" s="28"/>
      <c r="IC50" s="28"/>
      <c r="ID50" s="89"/>
      <c r="IE50" s="28"/>
      <c r="IF50" s="28"/>
      <c r="IG50" s="28"/>
      <c r="IH50" s="28"/>
      <c r="II50" s="28"/>
      <c r="IJ50" s="31"/>
    </row>
    <row r="51" spans="10:244" ht="12.75">
      <c r="J51" s="30" t="s">
        <v>30</v>
      </c>
      <c r="K51" s="29" t="s">
        <v>22</v>
      </c>
      <c r="L51" s="29" t="s">
        <v>57</v>
      </c>
      <c r="M51" s="67" t="s">
        <v>59</v>
      </c>
      <c r="N51" s="28"/>
      <c r="O51" s="70"/>
      <c r="P51" s="187" t="s">
        <v>124</v>
      </c>
      <c r="Q51" s="73" t="str">
        <f>Q25</f>
        <v>Semi-Monthly</v>
      </c>
      <c r="R51" s="71"/>
      <c r="S51" s="31"/>
      <c r="U51" s="27"/>
      <c r="V51" s="28"/>
      <c r="W51" s="89"/>
      <c r="X51" s="4">
        <v>500</v>
      </c>
      <c r="Y51" s="4">
        <v>1000</v>
      </c>
      <c r="Z51" s="4">
        <v>1500</v>
      </c>
      <c r="AA51" s="4">
        <v>2000</v>
      </c>
      <c r="AB51" s="4">
        <v>2500</v>
      </c>
      <c r="AC51" s="4">
        <v>3000</v>
      </c>
      <c r="AD51" s="4">
        <v>3500</v>
      </c>
      <c r="AE51" s="4">
        <v>4000</v>
      </c>
      <c r="AF51" s="112">
        <v>4500</v>
      </c>
      <c r="AG51" s="4">
        <v>5000</v>
      </c>
      <c r="AH51" s="4">
        <v>6000</v>
      </c>
      <c r="AI51" s="4">
        <v>6500</v>
      </c>
      <c r="AJ51" s="4">
        <v>7000</v>
      </c>
      <c r="AK51" s="151">
        <v>7500</v>
      </c>
      <c r="AL51" s="112">
        <v>8000</v>
      </c>
      <c r="AM51" s="112">
        <v>10000</v>
      </c>
      <c r="AN51" s="89"/>
      <c r="AO51" s="4">
        <v>250</v>
      </c>
      <c r="AP51" s="4">
        <v>500</v>
      </c>
      <c r="AQ51" s="4">
        <v>750</v>
      </c>
      <c r="AR51" s="4">
        <v>1000</v>
      </c>
      <c r="AS51" s="4">
        <v>1250</v>
      </c>
      <c r="AT51" s="4">
        <v>1500</v>
      </c>
      <c r="AU51" s="4">
        <v>1750</v>
      </c>
      <c r="AV51" s="4">
        <v>2000</v>
      </c>
      <c r="AW51" s="4">
        <v>2250</v>
      </c>
      <c r="AX51" s="4">
        <v>2500</v>
      </c>
      <c r="AY51" s="4"/>
      <c r="AZ51" s="4"/>
      <c r="BB51" s="28"/>
      <c r="BC51" s="20">
        <v>15</v>
      </c>
      <c r="BD51" s="20">
        <v>20</v>
      </c>
      <c r="BE51" s="28"/>
      <c r="BF51" s="20">
        <v>100</v>
      </c>
      <c r="BG51" s="20">
        <v>200</v>
      </c>
      <c r="BH51" s="20">
        <v>500</v>
      </c>
      <c r="BI51" s="28"/>
      <c r="BJ51" s="28"/>
      <c r="BK51" s="28"/>
      <c r="BL51" s="28"/>
      <c r="BM51" s="28"/>
      <c r="BN51" s="28"/>
      <c r="BO51" s="28"/>
      <c r="BP51" s="28"/>
      <c r="BQ51" s="28"/>
      <c r="BR51" s="186" t="e">
        <f>((M53*12)/$Q$26)</f>
        <v>#VALUE!</v>
      </c>
      <c r="BS51" s="28"/>
      <c r="BT51" s="28"/>
      <c r="BU51" s="28"/>
      <c r="BV51" s="31"/>
      <c r="BX51" s="27"/>
      <c r="BY51" s="28"/>
      <c r="BZ51" s="89"/>
      <c r="CA51" s="4">
        <v>500</v>
      </c>
      <c r="CB51" s="4">
        <v>1000</v>
      </c>
      <c r="CC51" s="4">
        <v>1500</v>
      </c>
      <c r="CD51" s="4">
        <v>2000</v>
      </c>
      <c r="CE51" s="4">
        <v>2500</v>
      </c>
      <c r="CF51" s="4">
        <v>3000</v>
      </c>
      <c r="CG51" s="4">
        <v>3500</v>
      </c>
      <c r="CH51" s="4">
        <v>4000</v>
      </c>
      <c r="CI51" s="112">
        <v>4500</v>
      </c>
      <c r="CJ51" s="4">
        <v>5000</v>
      </c>
      <c r="CK51" s="4">
        <v>6000</v>
      </c>
      <c r="CL51" s="4">
        <v>6500</v>
      </c>
      <c r="CM51" s="4">
        <v>7000</v>
      </c>
      <c r="CN51" s="151">
        <v>7500</v>
      </c>
      <c r="CO51" s="112">
        <v>8000</v>
      </c>
      <c r="CP51" s="114">
        <v>10000</v>
      </c>
      <c r="CQ51" s="89"/>
      <c r="CR51" s="4">
        <v>250</v>
      </c>
      <c r="CS51" s="4">
        <v>500</v>
      </c>
      <c r="CT51" s="4">
        <v>750</v>
      </c>
      <c r="CU51" s="4">
        <v>1000</v>
      </c>
      <c r="CV51" s="4">
        <v>1250</v>
      </c>
      <c r="CW51" s="4">
        <v>1500</v>
      </c>
      <c r="CX51" s="4">
        <v>1750</v>
      </c>
      <c r="CY51" s="4">
        <v>2000</v>
      </c>
      <c r="CZ51" s="4">
        <v>2250</v>
      </c>
      <c r="DA51" s="4">
        <v>2500</v>
      </c>
      <c r="DB51" s="4"/>
      <c r="DC51" s="4"/>
      <c r="DE51" s="28"/>
      <c r="DF51" s="20">
        <v>15</v>
      </c>
      <c r="DG51" s="20">
        <v>20</v>
      </c>
      <c r="DH51" s="28"/>
      <c r="DI51" s="20">
        <v>100</v>
      </c>
      <c r="DJ51" s="20">
        <v>200</v>
      </c>
      <c r="DK51" s="20">
        <v>500</v>
      </c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31"/>
      <c r="EB51" s="27"/>
      <c r="EC51" s="28"/>
      <c r="ED51" s="89"/>
      <c r="EE51" s="4">
        <v>500</v>
      </c>
      <c r="EF51" s="4">
        <v>1000</v>
      </c>
      <c r="EG51" s="4">
        <v>1500</v>
      </c>
      <c r="EH51" s="4">
        <v>2000</v>
      </c>
      <c r="EI51" s="4">
        <v>2500</v>
      </c>
      <c r="EJ51" s="4">
        <v>3000</v>
      </c>
      <c r="EK51" s="4">
        <v>3500</v>
      </c>
      <c r="EL51" s="4">
        <v>4000</v>
      </c>
      <c r="EM51" s="112">
        <v>4500</v>
      </c>
      <c r="EN51" s="4">
        <v>5000</v>
      </c>
      <c r="EO51" s="4">
        <v>6000</v>
      </c>
      <c r="EP51" s="4">
        <v>6500</v>
      </c>
      <c r="EQ51" s="4">
        <v>7000</v>
      </c>
      <c r="ER51" s="112">
        <v>7500</v>
      </c>
      <c r="ES51" s="112">
        <v>8000</v>
      </c>
      <c r="ET51" s="112">
        <v>10000</v>
      </c>
      <c r="EU51" s="89"/>
      <c r="EV51" s="4">
        <v>250</v>
      </c>
      <c r="EW51" s="4">
        <v>500</v>
      </c>
      <c r="EX51" s="4">
        <v>750</v>
      </c>
      <c r="EY51" s="4">
        <v>1000</v>
      </c>
      <c r="EZ51" s="4">
        <v>1250</v>
      </c>
      <c r="FA51" s="4">
        <v>1500</v>
      </c>
      <c r="FB51" s="4">
        <v>1750</v>
      </c>
      <c r="FC51" s="4">
        <v>2000</v>
      </c>
      <c r="FD51" s="4">
        <v>2250</v>
      </c>
      <c r="FE51" s="4">
        <v>2500</v>
      </c>
      <c r="FF51" s="4"/>
      <c r="FG51" s="4"/>
      <c r="FI51" s="28"/>
      <c r="FJ51" s="20">
        <v>15</v>
      </c>
      <c r="FK51" s="20">
        <v>20</v>
      </c>
      <c r="FL51" s="28"/>
      <c r="FM51" s="20">
        <v>100</v>
      </c>
      <c r="FN51" s="20">
        <v>200</v>
      </c>
      <c r="FO51" s="20">
        <v>500</v>
      </c>
      <c r="FP51" s="28"/>
      <c r="FQ51" s="28"/>
      <c r="FR51" s="28"/>
      <c r="FS51" s="28"/>
      <c r="FT51" s="28"/>
      <c r="FU51" s="28"/>
      <c r="FV51" s="28"/>
      <c r="FW51" s="28"/>
      <c r="FX51" s="28"/>
      <c r="FY51" s="89"/>
      <c r="FZ51" s="28"/>
      <c r="GA51" s="28"/>
      <c r="GB51" s="28"/>
      <c r="GC51" s="28"/>
      <c r="GD51" s="28"/>
      <c r="GE51" s="31"/>
      <c r="GG51" s="27"/>
      <c r="GH51" s="28"/>
      <c r="GI51" s="89"/>
      <c r="GJ51" s="4">
        <v>500</v>
      </c>
      <c r="GK51" s="4">
        <v>1000</v>
      </c>
      <c r="GL51" s="4">
        <v>1500</v>
      </c>
      <c r="GM51" s="4">
        <v>2000</v>
      </c>
      <c r="GN51" s="4">
        <v>2500</v>
      </c>
      <c r="GO51" s="4">
        <v>3000</v>
      </c>
      <c r="GP51" s="4">
        <v>3500</v>
      </c>
      <c r="GQ51" s="4">
        <v>4000</v>
      </c>
      <c r="GR51" s="112">
        <v>4500</v>
      </c>
      <c r="GS51" s="4">
        <v>5000</v>
      </c>
      <c r="GT51" s="4">
        <v>6000</v>
      </c>
      <c r="GU51" s="4">
        <v>6500</v>
      </c>
      <c r="GV51" s="4">
        <v>7000</v>
      </c>
      <c r="GW51" s="112">
        <v>7500</v>
      </c>
      <c r="GX51" s="112">
        <v>8000</v>
      </c>
      <c r="GY51" s="112">
        <v>10000</v>
      </c>
      <c r="GZ51" s="89"/>
      <c r="HA51" s="4">
        <v>250</v>
      </c>
      <c r="HB51" s="4">
        <v>500</v>
      </c>
      <c r="HC51" s="4">
        <v>750</v>
      </c>
      <c r="HD51" s="4">
        <v>1000</v>
      </c>
      <c r="HE51" s="4">
        <v>1250</v>
      </c>
      <c r="HF51" s="4">
        <v>1500</v>
      </c>
      <c r="HG51" s="4">
        <v>1750</v>
      </c>
      <c r="HH51" s="4">
        <v>2000</v>
      </c>
      <c r="HI51" s="4">
        <v>2250</v>
      </c>
      <c r="HJ51" s="4">
        <v>2500</v>
      </c>
      <c r="HK51" s="4"/>
      <c r="HL51" s="4"/>
      <c r="HN51" s="28"/>
      <c r="HO51" s="20">
        <v>15</v>
      </c>
      <c r="HP51" s="20">
        <v>20</v>
      </c>
      <c r="HQ51" s="28"/>
      <c r="HR51" s="20">
        <v>100</v>
      </c>
      <c r="HS51" s="20">
        <v>200</v>
      </c>
      <c r="HT51" s="20">
        <v>500</v>
      </c>
      <c r="HU51" s="28"/>
      <c r="HV51" s="28"/>
      <c r="HW51" s="28"/>
      <c r="HX51" s="28"/>
      <c r="HY51" s="89" t="s">
        <v>66</v>
      </c>
      <c r="HZ51" s="191" t="s">
        <v>130</v>
      </c>
      <c r="IB51" s="28"/>
      <c r="IC51" s="28"/>
      <c r="ID51" s="89"/>
      <c r="IE51" s="28"/>
      <c r="IF51" s="28"/>
      <c r="IG51" s="28"/>
      <c r="IH51" s="28"/>
      <c r="II51" s="28"/>
      <c r="IJ51" s="31"/>
    </row>
    <row r="52" spans="10:244" ht="12.75">
      <c r="J52" s="51" t="s">
        <v>0</v>
      </c>
      <c r="K52" s="41">
        <f>(IF($J$48="",(K28+K34+K40),""))</f>
      </c>
      <c r="L52" s="42">
        <f>(IF($J$48="",(C99+G99+H99),""))</f>
      </c>
      <c r="M52" s="42" t="str">
        <f>IF($J$48="",D129,"N/A")</f>
        <v>N/A</v>
      </c>
      <c r="N52" s="41"/>
      <c r="O52" s="56"/>
      <c r="P52" s="42"/>
      <c r="Q52" s="42" t="str">
        <f>IF(M52="N/A","N/A",(BR50*((100-$L$12)/100)))</f>
        <v>N/A</v>
      </c>
      <c r="R52" s="43"/>
      <c r="S52" s="31"/>
      <c r="U52" s="5" t="s">
        <v>0</v>
      </c>
      <c r="V52" s="6"/>
      <c r="W52" s="89"/>
      <c r="X52" s="7">
        <v>5.91</v>
      </c>
      <c r="Y52" s="7">
        <v>11.51</v>
      </c>
      <c r="Z52" s="7">
        <v>16.8</v>
      </c>
      <c r="AA52" s="7">
        <v>21.85</v>
      </c>
      <c r="AB52" s="7">
        <v>26.52</v>
      </c>
      <c r="AC52" s="7">
        <v>31.08</v>
      </c>
      <c r="AD52" s="7">
        <v>35.51</v>
      </c>
      <c r="AE52" s="7">
        <v>39.69</v>
      </c>
      <c r="AF52" s="113">
        <v>43.85</v>
      </c>
      <c r="AG52" s="7">
        <v>48</v>
      </c>
      <c r="AH52" s="7">
        <v>55.82</v>
      </c>
      <c r="AI52" s="7">
        <v>59.54</v>
      </c>
      <c r="AJ52" s="7">
        <v>63.26</v>
      </c>
      <c r="AK52" s="152">
        <v>66.86</v>
      </c>
      <c r="AL52" s="113">
        <v>70.46</v>
      </c>
      <c r="AM52" s="113">
        <v>84.25</v>
      </c>
      <c r="AN52" s="89"/>
      <c r="AO52" s="7">
        <v>12.24</v>
      </c>
      <c r="AP52" s="7">
        <v>22.03</v>
      </c>
      <c r="AQ52" s="7">
        <v>26.42</v>
      </c>
      <c r="AR52" s="7">
        <v>30.56</v>
      </c>
      <c r="AS52" s="7">
        <v>33.62</v>
      </c>
      <c r="AT52" s="7">
        <v>36.68</v>
      </c>
      <c r="AU52" s="7">
        <v>39.3</v>
      </c>
      <c r="AV52" s="7">
        <v>41.92</v>
      </c>
      <c r="AW52" s="7">
        <v>44.02</v>
      </c>
      <c r="AX52" s="7">
        <v>46.12</v>
      </c>
      <c r="AY52" s="7"/>
      <c r="AZ52" s="7"/>
      <c r="BB52" s="28"/>
      <c r="BC52" s="7">
        <v>10.31</v>
      </c>
      <c r="BD52" s="7">
        <v>15.77</v>
      </c>
      <c r="BE52" s="28"/>
      <c r="BF52" s="7">
        <v>4.23</v>
      </c>
      <c r="BG52" s="7">
        <v>8</v>
      </c>
      <c r="BH52" s="7">
        <v>17.92</v>
      </c>
      <c r="BI52" s="28"/>
      <c r="BJ52" s="28"/>
      <c r="BK52" s="28"/>
      <c r="BL52" s="28"/>
      <c r="BM52" s="28"/>
      <c r="BN52" s="28"/>
      <c r="BO52" s="28"/>
      <c r="BP52" s="28"/>
      <c r="BQ52" s="28"/>
      <c r="BR52" s="186" t="e">
        <f>((M54*12)/$Q$26)</f>
        <v>#VALUE!</v>
      </c>
      <c r="BS52" s="28"/>
      <c r="BT52" s="28"/>
      <c r="BU52" s="28"/>
      <c r="BV52" s="31"/>
      <c r="BX52" s="5" t="s">
        <v>0</v>
      </c>
      <c r="BY52" s="6"/>
      <c r="BZ52" s="89"/>
      <c r="CA52" s="7">
        <v>6.4</v>
      </c>
      <c r="CB52" s="7">
        <v>12.47</v>
      </c>
      <c r="CC52" s="7">
        <v>18.2</v>
      </c>
      <c r="CD52" s="7">
        <v>23.67</v>
      </c>
      <c r="CE52" s="7">
        <v>28.73</v>
      </c>
      <c r="CF52" s="7">
        <v>33.67</v>
      </c>
      <c r="CG52" s="7">
        <v>38.47</v>
      </c>
      <c r="CH52" s="7">
        <v>43</v>
      </c>
      <c r="CI52" s="113">
        <v>47.5</v>
      </c>
      <c r="CJ52" s="7">
        <v>52</v>
      </c>
      <c r="CK52" s="7">
        <v>60.47</v>
      </c>
      <c r="CL52" s="7">
        <v>64.5</v>
      </c>
      <c r="CM52" s="7">
        <v>68.53</v>
      </c>
      <c r="CN52" s="152">
        <v>72.43</v>
      </c>
      <c r="CO52" s="113">
        <v>76.33</v>
      </c>
      <c r="CP52" s="113">
        <v>91.27</v>
      </c>
      <c r="CQ52" s="89"/>
      <c r="CR52" s="7">
        <v>13.26</v>
      </c>
      <c r="CS52" s="7">
        <v>23.86</v>
      </c>
      <c r="CT52" s="7">
        <v>28.62</v>
      </c>
      <c r="CU52" s="7">
        <v>33.11</v>
      </c>
      <c r="CV52" s="7">
        <v>36.42</v>
      </c>
      <c r="CW52" s="7">
        <v>39.73</v>
      </c>
      <c r="CX52" s="7">
        <v>42.58</v>
      </c>
      <c r="CY52" s="7">
        <v>45.42</v>
      </c>
      <c r="CZ52" s="7">
        <v>47.69</v>
      </c>
      <c r="DA52" s="7">
        <v>49.96</v>
      </c>
      <c r="DB52" s="7"/>
      <c r="DC52" s="7"/>
      <c r="DE52" s="28"/>
      <c r="DF52" s="7">
        <v>11.17</v>
      </c>
      <c r="DG52" s="7">
        <v>17.08</v>
      </c>
      <c r="DH52" s="28"/>
      <c r="DI52" s="7">
        <v>4.58</v>
      </c>
      <c r="DJ52" s="7">
        <v>8.67</v>
      </c>
      <c r="DK52" s="7">
        <v>19.42</v>
      </c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31"/>
      <c r="EB52" s="5" t="s">
        <v>0</v>
      </c>
      <c r="EC52" s="6"/>
      <c r="ED52" s="89"/>
      <c r="EE52" s="7">
        <v>13.17</v>
      </c>
      <c r="EF52" s="7">
        <v>24.63</v>
      </c>
      <c r="EG52" s="7">
        <v>28.98</v>
      </c>
      <c r="EH52" s="7">
        <v>32.3</v>
      </c>
      <c r="EI52" s="7">
        <v>44.9</v>
      </c>
      <c r="EJ52" s="7">
        <v>57.16</v>
      </c>
      <c r="EK52" s="7">
        <v>61.87</v>
      </c>
      <c r="EL52" s="7">
        <v>66.32</v>
      </c>
      <c r="EM52" s="113">
        <v>72.34</v>
      </c>
      <c r="EN52" s="7">
        <v>78.35</v>
      </c>
      <c r="EO52" s="7">
        <v>91.29</v>
      </c>
      <c r="EP52" s="7">
        <v>96.62</v>
      </c>
      <c r="EQ52" s="7">
        <v>101.96</v>
      </c>
      <c r="ER52" s="113">
        <v>106.93</v>
      </c>
      <c r="ES52" s="113">
        <v>111.91</v>
      </c>
      <c r="ET52" s="113">
        <v>128.7</v>
      </c>
      <c r="EU52" s="89"/>
      <c r="EV52" s="7">
        <v>15.19</v>
      </c>
      <c r="EW52" s="7">
        <v>27.33</v>
      </c>
      <c r="EX52" s="7">
        <v>32.79</v>
      </c>
      <c r="EY52" s="7">
        <v>37.93</v>
      </c>
      <c r="EZ52" s="7">
        <v>41.72</v>
      </c>
      <c r="FA52" s="7">
        <v>45.51</v>
      </c>
      <c r="FB52" s="7">
        <v>48.77</v>
      </c>
      <c r="FC52" s="7">
        <v>52.02</v>
      </c>
      <c r="FD52" s="7">
        <v>54.63</v>
      </c>
      <c r="FE52" s="7">
        <v>57.23</v>
      </c>
      <c r="FF52" s="7"/>
      <c r="FG52" s="7"/>
      <c r="FI52" s="28"/>
      <c r="FJ52" s="7">
        <v>12.79</v>
      </c>
      <c r="FK52" s="7">
        <v>19.57</v>
      </c>
      <c r="FL52" s="28"/>
      <c r="FM52" s="7">
        <v>5.25</v>
      </c>
      <c r="FN52" s="7">
        <v>9.93</v>
      </c>
      <c r="FO52" s="7">
        <v>22.24</v>
      </c>
      <c r="FP52" s="28"/>
      <c r="FQ52" s="28"/>
      <c r="FR52" s="28"/>
      <c r="FS52" s="28"/>
      <c r="FT52" s="28"/>
      <c r="FU52" s="28"/>
      <c r="FV52" s="28"/>
      <c r="FW52" s="28"/>
      <c r="FX52" s="28"/>
      <c r="FY52" s="89"/>
      <c r="FZ52" s="28"/>
      <c r="GA52" s="28"/>
      <c r="GB52" s="28"/>
      <c r="GC52" s="28"/>
      <c r="GD52" s="28"/>
      <c r="GE52" s="31"/>
      <c r="GG52" s="5" t="s">
        <v>0</v>
      </c>
      <c r="GH52" s="6"/>
      <c r="GI52" s="89"/>
      <c r="GJ52" s="7">
        <v>7.33</v>
      </c>
      <c r="GK52" s="7">
        <v>14.28</v>
      </c>
      <c r="GL52" s="7">
        <v>20.85</v>
      </c>
      <c r="GM52" s="7">
        <v>27.11</v>
      </c>
      <c r="GN52" s="7">
        <v>32.91</v>
      </c>
      <c r="GO52" s="7">
        <v>38.56</v>
      </c>
      <c r="GP52" s="7">
        <v>44.06</v>
      </c>
      <c r="GQ52" s="7">
        <v>49.25</v>
      </c>
      <c r="GR52" s="113">
        <v>54.41</v>
      </c>
      <c r="GS52" s="7">
        <v>59.56</v>
      </c>
      <c r="GT52" s="7">
        <v>69.26</v>
      </c>
      <c r="GU52" s="7">
        <v>73.88</v>
      </c>
      <c r="GV52" s="7">
        <v>78.5</v>
      </c>
      <c r="GW52" s="113">
        <v>82.97</v>
      </c>
      <c r="GX52" s="113">
        <v>87.44</v>
      </c>
      <c r="GY52" s="113">
        <v>104.54</v>
      </c>
      <c r="GZ52" s="89"/>
      <c r="HA52" s="7">
        <v>15.19</v>
      </c>
      <c r="HB52" s="7">
        <v>27.33</v>
      </c>
      <c r="HC52" s="7">
        <v>32.79</v>
      </c>
      <c r="HD52" s="7">
        <v>37.93</v>
      </c>
      <c r="HE52" s="7">
        <v>41.72</v>
      </c>
      <c r="HF52" s="7">
        <v>45.51</v>
      </c>
      <c r="HG52" s="7">
        <v>48.77</v>
      </c>
      <c r="HH52" s="7">
        <v>52.02</v>
      </c>
      <c r="HI52" s="7">
        <v>54.63</v>
      </c>
      <c r="HJ52" s="7">
        <v>57.23</v>
      </c>
      <c r="HK52" s="7"/>
      <c r="HL52" s="7"/>
      <c r="HN52" s="28"/>
      <c r="HO52" s="7">
        <v>12.79</v>
      </c>
      <c r="HP52" s="7">
        <v>19.57</v>
      </c>
      <c r="HQ52" s="28"/>
      <c r="HR52" s="7">
        <v>5.25</v>
      </c>
      <c r="HS52" s="7">
        <v>9.93</v>
      </c>
      <c r="HT52" s="7">
        <v>22.24</v>
      </c>
      <c r="HU52" s="28"/>
      <c r="HV52" s="28"/>
      <c r="HW52" s="28"/>
      <c r="HX52" s="28"/>
      <c r="HY52" s="89" t="s">
        <v>136</v>
      </c>
      <c r="HZ52" s="28" t="s">
        <v>129</v>
      </c>
      <c r="IB52" s="28"/>
      <c r="IC52" s="28"/>
      <c r="ID52" s="89"/>
      <c r="IE52" s="28"/>
      <c r="IF52" s="28"/>
      <c r="IG52" s="28"/>
      <c r="IH52" s="28"/>
      <c r="II52" s="28"/>
      <c r="IJ52" s="31"/>
    </row>
    <row r="53" spans="10:244" ht="12.75">
      <c r="J53" s="51" t="s">
        <v>53</v>
      </c>
      <c r="K53" s="41">
        <f>(IF($J$48="",(K29+K35+K41),""))</f>
      </c>
      <c r="L53" s="42">
        <f>(IF($J$48="",(C108+G108+H108),""))</f>
      </c>
      <c r="M53" s="42" t="str">
        <f>IF($J$48="",D130,"N/A")</f>
        <v>N/A</v>
      </c>
      <c r="N53" s="42"/>
      <c r="O53" s="56"/>
      <c r="P53" s="42"/>
      <c r="Q53" s="42" t="str">
        <f>IF(M52="N/A","N/A",IF($L$13&gt;0,((BR50*((100-$L$12)/100))+((BR51-$BR$50)*$L$13/100)),((BR50*((100-$L$12)/100))+((BR51-$BR$50)))))</f>
        <v>N/A</v>
      </c>
      <c r="R53" s="43"/>
      <c r="S53" s="31"/>
      <c r="U53" s="8" t="s">
        <v>1</v>
      </c>
      <c r="V53" s="9"/>
      <c r="W53" s="89"/>
      <c r="X53" s="7">
        <v>10.65</v>
      </c>
      <c r="Y53" s="7">
        <v>20.74</v>
      </c>
      <c r="Z53" s="7">
        <v>30.22</v>
      </c>
      <c r="AA53" s="7">
        <v>39.32</v>
      </c>
      <c r="AB53" s="7">
        <v>47.75</v>
      </c>
      <c r="AC53" s="7">
        <v>55.94</v>
      </c>
      <c r="AD53" s="7">
        <v>63.94</v>
      </c>
      <c r="AE53" s="7">
        <v>71.45</v>
      </c>
      <c r="AF53" s="113">
        <v>78.92</v>
      </c>
      <c r="AG53" s="7">
        <v>86.4</v>
      </c>
      <c r="AH53" s="7">
        <v>100.49</v>
      </c>
      <c r="AI53" s="7">
        <v>107.17</v>
      </c>
      <c r="AJ53" s="7">
        <v>113.85</v>
      </c>
      <c r="AK53" s="152">
        <v>120.34</v>
      </c>
      <c r="AL53" s="113">
        <v>126.83</v>
      </c>
      <c r="AM53" s="113">
        <v>151.63</v>
      </c>
      <c r="AN53" s="89"/>
      <c r="AO53" s="7">
        <v>22.05</v>
      </c>
      <c r="AP53" s="7">
        <v>39.62</v>
      </c>
      <c r="AQ53" s="7">
        <v>47.54</v>
      </c>
      <c r="AR53" s="7">
        <v>55</v>
      </c>
      <c r="AS53" s="7">
        <v>60.5</v>
      </c>
      <c r="AT53" s="7">
        <v>66</v>
      </c>
      <c r="AU53" s="7">
        <v>70.72</v>
      </c>
      <c r="AV53" s="7">
        <v>75.43</v>
      </c>
      <c r="AW53" s="7">
        <v>79.2</v>
      </c>
      <c r="AX53" s="7">
        <v>82.98</v>
      </c>
      <c r="AY53" s="7"/>
      <c r="AZ53" s="7"/>
      <c r="BB53" s="28"/>
      <c r="BC53" s="7">
        <v>12.31</v>
      </c>
      <c r="BD53" s="7">
        <v>21.46</v>
      </c>
      <c r="BE53" s="28"/>
      <c r="BF53" s="7">
        <v>5.85</v>
      </c>
      <c r="BG53" s="7">
        <v>11.08</v>
      </c>
      <c r="BH53" s="7">
        <v>24.69</v>
      </c>
      <c r="BI53" s="28"/>
      <c r="BJ53" s="28"/>
      <c r="BK53" s="28"/>
      <c r="BL53" s="28"/>
      <c r="BM53" s="28"/>
      <c r="BN53" s="28"/>
      <c r="BO53" s="28"/>
      <c r="BP53" s="28"/>
      <c r="BQ53" s="28"/>
      <c r="BR53" s="186" t="e">
        <f>((M55*12)/$Q$26)</f>
        <v>#VALUE!</v>
      </c>
      <c r="BS53" s="28"/>
      <c r="BT53" s="28"/>
      <c r="BU53" s="28"/>
      <c r="BV53" s="31"/>
      <c r="BX53" s="8" t="s">
        <v>1</v>
      </c>
      <c r="BY53" s="9"/>
      <c r="BZ53" s="89"/>
      <c r="CA53" s="7">
        <v>11.53</v>
      </c>
      <c r="CB53" s="7">
        <v>22.47</v>
      </c>
      <c r="CC53" s="7">
        <v>32.73</v>
      </c>
      <c r="CD53" s="7">
        <v>42.6</v>
      </c>
      <c r="CE53" s="7">
        <v>51.73</v>
      </c>
      <c r="CF53" s="7">
        <v>60.6</v>
      </c>
      <c r="CG53" s="7">
        <v>69.27</v>
      </c>
      <c r="CH53" s="7">
        <v>77.4</v>
      </c>
      <c r="CI53" s="113">
        <v>85.5</v>
      </c>
      <c r="CJ53" s="7">
        <v>93.6</v>
      </c>
      <c r="CK53" s="7">
        <v>108.87</v>
      </c>
      <c r="CL53" s="7">
        <v>116.1</v>
      </c>
      <c r="CM53" s="7">
        <v>123.33</v>
      </c>
      <c r="CN53" s="152">
        <v>130.37</v>
      </c>
      <c r="CO53" s="113">
        <v>137.4</v>
      </c>
      <c r="CP53" s="113">
        <v>164.27</v>
      </c>
      <c r="CQ53" s="89"/>
      <c r="CR53" s="7">
        <v>23.89</v>
      </c>
      <c r="CS53" s="7">
        <v>42.92</v>
      </c>
      <c r="CT53" s="7">
        <v>51.5</v>
      </c>
      <c r="CU53" s="7">
        <v>59.59</v>
      </c>
      <c r="CV53" s="7">
        <v>65.54</v>
      </c>
      <c r="CW53" s="7">
        <v>71.5</v>
      </c>
      <c r="CX53" s="7">
        <v>76.61</v>
      </c>
      <c r="CY53" s="7">
        <v>81.72</v>
      </c>
      <c r="CZ53" s="7">
        <v>85.8</v>
      </c>
      <c r="DA53" s="7">
        <v>89.89</v>
      </c>
      <c r="DB53" s="7"/>
      <c r="DC53" s="7"/>
      <c r="DE53" s="28"/>
      <c r="DF53" s="7">
        <v>13.33</v>
      </c>
      <c r="DG53" s="7">
        <v>23.25</v>
      </c>
      <c r="DH53" s="28"/>
      <c r="DI53" s="7">
        <v>6.33</v>
      </c>
      <c r="DJ53" s="7">
        <v>12</v>
      </c>
      <c r="DK53" s="7">
        <v>26.75</v>
      </c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31"/>
      <c r="EB53" s="8" t="s">
        <v>1</v>
      </c>
      <c r="EC53" s="9"/>
      <c r="ED53" s="89"/>
      <c r="EE53" s="7">
        <v>23.71</v>
      </c>
      <c r="EF53" s="7">
        <v>44.33</v>
      </c>
      <c r="EG53" s="7">
        <v>52.18</v>
      </c>
      <c r="EH53" s="7">
        <v>58.13</v>
      </c>
      <c r="EI53" s="7">
        <v>80.83</v>
      </c>
      <c r="EJ53" s="7">
        <v>102.86</v>
      </c>
      <c r="EK53" s="7">
        <v>111.37</v>
      </c>
      <c r="EL53" s="7">
        <v>119.36</v>
      </c>
      <c r="EM53" s="113">
        <v>130.18</v>
      </c>
      <c r="EN53" s="7">
        <v>141.01</v>
      </c>
      <c r="EO53" s="7">
        <v>164.32</v>
      </c>
      <c r="EP53" s="7">
        <v>173.91</v>
      </c>
      <c r="EQ53" s="7">
        <v>183.51</v>
      </c>
      <c r="ER53" s="113">
        <v>192.47</v>
      </c>
      <c r="ES53" s="113">
        <v>201.43</v>
      </c>
      <c r="ET53" s="113">
        <v>231.65</v>
      </c>
      <c r="EU53" s="89"/>
      <c r="EV53" s="7">
        <v>27.36</v>
      </c>
      <c r="EW53" s="7">
        <v>49.16</v>
      </c>
      <c r="EX53" s="7">
        <v>58.99</v>
      </c>
      <c r="EY53" s="7">
        <v>68.25</v>
      </c>
      <c r="EZ53" s="7">
        <v>75.08</v>
      </c>
      <c r="FA53" s="7">
        <v>81.9</v>
      </c>
      <c r="FB53" s="7">
        <v>87.75</v>
      </c>
      <c r="FC53" s="7">
        <v>93.6</v>
      </c>
      <c r="FD53" s="7">
        <v>98.28</v>
      </c>
      <c r="FE53" s="7">
        <v>102.96</v>
      </c>
      <c r="FF53" s="7"/>
      <c r="FG53" s="7"/>
      <c r="FI53" s="28"/>
      <c r="FJ53" s="7">
        <v>15.27</v>
      </c>
      <c r="FK53" s="7">
        <v>26.63</v>
      </c>
      <c r="FL53" s="28"/>
      <c r="FM53" s="7">
        <v>7.25</v>
      </c>
      <c r="FN53" s="7">
        <v>13.75</v>
      </c>
      <c r="FO53" s="7">
        <v>30.64</v>
      </c>
      <c r="FP53" s="28"/>
      <c r="FQ53" s="28"/>
      <c r="FR53" s="28"/>
      <c r="FS53" s="28"/>
      <c r="FT53" s="28"/>
      <c r="FU53" s="28"/>
      <c r="FV53" s="28"/>
      <c r="FW53" s="28"/>
      <c r="FX53" s="28"/>
      <c r="FY53" s="89"/>
      <c r="FZ53" s="28"/>
      <c r="GA53" s="28"/>
      <c r="GB53" s="28"/>
      <c r="GC53" s="28"/>
      <c r="GD53" s="28"/>
      <c r="GE53" s="31"/>
      <c r="GG53" s="8" t="s">
        <v>1</v>
      </c>
      <c r="GH53" s="9"/>
      <c r="GI53" s="89"/>
      <c r="GJ53" s="7">
        <v>13.21</v>
      </c>
      <c r="GK53" s="7">
        <v>25.73</v>
      </c>
      <c r="GL53" s="7">
        <v>37.49</v>
      </c>
      <c r="GM53" s="7">
        <v>48.8</v>
      </c>
      <c r="GN53" s="7">
        <v>59.26</v>
      </c>
      <c r="GO53" s="7">
        <v>69.41</v>
      </c>
      <c r="GP53" s="7">
        <v>79.34</v>
      </c>
      <c r="GQ53" s="7">
        <v>88.66</v>
      </c>
      <c r="GR53" s="113">
        <v>97.94</v>
      </c>
      <c r="GS53" s="7">
        <v>107.21</v>
      </c>
      <c r="GT53" s="7">
        <v>124.7</v>
      </c>
      <c r="GU53" s="7">
        <v>132.99</v>
      </c>
      <c r="GV53" s="7">
        <v>141.27</v>
      </c>
      <c r="GW53" s="113">
        <v>149.33</v>
      </c>
      <c r="GX53" s="113">
        <v>157.39</v>
      </c>
      <c r="GY53" s="113">
        <v>188.16</v>
      </c>
      <c r="GZ53" s="89"/>
      <c r="HA53" s="7">
        <v>27.36</v>
      </c>
      <c r="HB53" s="7">
        <v>49.16</v>
      </c>
      <c r="HC53" s="7">
        <v>58.99</v>
      </c>
      <c r="HD53" s="7">
        <v>68.25</v>
      </c>
      <c r="HE53" s="7">
        <v>75.08</v>
      </c>
      <c r="HF53" s="7">
        <v>81.9</v>
      </c>
      <c r="HG53" s="7">
        <v>87.75</v>
      </c>
      <c r="HH53" s="7">
        <v>93.6</v>
      </c>
      <c r="HI53" s="7">
        <v>98.28</v>
      </c>
      <c r="HJ53" s="7">
        <v>102.96</v>
      </c>
      <c r="HK53" s="7"/>
      <c r="HL53" s="7"/>
      <c r="HN53" s="28"/>
      <c r="HO53" s="7">
        <v>15.27</v>
      </c>
      <c r="HP53" s="7">
        <v>26.63</v>
      </c>
      <c r="HQ53" s="28"/>
      <c r="HR53" s="7">
        <v>7.25</v>
      </c>
      <c r="HS53" s="7">
        <v>13.75</v>
      </c>
      <c r="HT53" s="7">
        <v>30.64</v>
      </c>
      <c r="HU53" s="28"/>
      <c r="HV53" s="28"/>
      <c r="HW53" s="28"/>
      <c r="HX53" s="28"/>
      <c r="HY53" s="89" t="s">
        <v>137</v>
      </c>
      <c r="HZ53" s="28" t="s">
        <v>129</v>
      </c>
      <c r="IB53" s="28"/>
      <c r="IC53" s="28"/>
      <c r="ID53" s="89"/>
      <c r="IE53" s="28"/>
      <c r="IF53" s="28"/>
      <c r="IG53" s="28"/>
      <c r="IH53" s="28"/>
      <c r="II53" s="28"/>
      <c r="IJ53" s="31"/>
    </row>
    <row r="54" spans="10:244" ht="12.75">
      <c r="J54" s="51" t="s">
        <v>55</v>
      </c>
      <c r="K54" s="41">
        <f>(IF($J$48="",(K30+K36+K42),""))</f>
      </c>
      <c r="L54" s="42">
        <f>(IF($J$48="",(C117+G117+H117),""))</f>
      </c>
      <c r="M54" s="42" t="str">
        <f>IF($J$48="",D131,"N/A")</f>
        <v>N/A</v>
      </c>
      <c r="N54" s="42"/>
      <c r="O54" s="56"/>
      <c r="P54" s="42"/>
      <c r="Q54" s="42" t="str">
        <f>IF(M53="N/A","N/A",IF($L$13&gt;0,((BR50*((100-$L$12)/100))+((BR52-$BR$50)*$L$13/100)),((BR50*((100-$L$12)/100))+((BR52-$BR$50)))))</f>
        <v>N/A</v>
      </c>
      <c r="R54" s="43"/>
      <c r="S54" s="31"/>
      <c r="U54" s="8" t="s">
        <v>2</v>
      </c>
      <c r="V54" s="9"/>
      <c r="W54" s="89"/>
      <c r="X54" s="7">
        <v>9.72</v>
      </c>
      <c r="Y54" s="7">
        <v>18.95</v>
      </c>
      <c r="Z54" s="7">
        <v>27.63</v>
      </c>
      <c r="AA54" s="7">
        <v>35.94</v>
      </c>
      <c r="AB54" s="7">
        <v>43.63</v>
      </c>
      <c r="AC54" s="7">
        <v>51.14</v>
      </c>
      <c r="AD54" s="7">
        <v>58.46</v>
      </c>
      <c r="AE54" s="7">
        <v>65.35</v>
      </c>
      <c r="AF54" s="113">
        <v>72.18</v>
      </c>
      <c r="AG54" s="7">
        <v>79.02</v>
      </c>
      <c r="AH54" s="7">
        <v>91.88</v>
      </c>
      <c r="AI54" s="7">
        <v>98</v>
      </c>
      <c r="AJ54" s="7">
        <v>104.12</v>
      </c>
      <c r="AK54" s="152">
        <v>110.06</v>
      </c>
      <c r="AL54" s="113">
        <v>116</v>
      </c>
      <c r="AM54" s="113">
        <v>138.71</v>
      </c>
      <c r="AN54" s="89"/>
      <c r="AO54" s="7">
        <v>19.59</v>
      </c>
      <c r="AP54" s="7">
        <v>35.23</v>
      </c>
      <c r="AQ54" s="7">
        <v>42.31</v>
      </c>
      <c r="AR54" s="7">
        <v>48.95</v>
      </c>
      <c r="AS54" s="7">
        <v>53.84</v>
      </c>
      <c r="AT54" s="7">
        <v>58.74</v>
      </c>
      <c r="AU54" s="7">
        <v>62.93</v>
      </c>
      <c r="AV54" s="7">
        <v>67.12</v>
      </c>
      <c r="AW54" s="7">
        <v>70.48</v>
      </c>
      <c r="AX54" s="7">
        <v>73.83</v>
      </c>
      <c r="AY54" s="7"/>
      <c r="AZ54" s="7"/>
      <c r="BB54" s="28"/>
      <c r="BC54" s="7">
        <v>12.92</v>
      </c>
      <c r="BD54" s="7">
        <v>22.92</v>
      </c>
      <c r="BE54" s="28"/>
      <c r="BF54" s="7">
        <v>11.38</v>
      </c>
      <c r="BG54" s="7">
        <v>21.69</v>
      </c>
      <c r="BH54" s="7">
        <v>48.54</v>
      </c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31"/>
      <c r="BX54" s="8" t="s">
        <v>2</v>
      </c>
      <c r="BY54" s="9"/>
      <c r="BZ54" s="89"/>
      <c r="CA54" s="7">
        <v>10.53</v>
      </c>
      <c r="CB54" s="7">
        <v>20.53</v>
      </c>
      <c r="CC54" s="7">
        <v>29.93</v>
      </c>
      <c r="CD54" s="7">
        <v>38.93</v>
      </c>
      <c r="CE54" s="7">
        <v>47.27</v>
      </c>
      <c r="CF54" s="7">
        <v>55.4</v>
      </c>
      <c r="CG54" s="7">
        <v>63.33</v>
      </c>
      <c r="CH54" s="7">
        <v>70.8</v>
      </c>
      <c r="CI54" s="113">
        <v>78.2</v>
      </c>
      <c r="CJ54" s="7">
        <v>85.6</v>
      </c>
      <c r="CK54" s="7">
        <v>99.53</v>
      </c>
      <c r="CL54" s="7">
        <v>106.17</v>
      </c>
      <c r="CM54" s="7">
        <v>112.8</v>
      </c>
      <c r="CN54" s="152">
        <v>119.23</v>
      </c>
      <c r="CO54" s="113">
        <v>125.67</v>
      </c>
      <c r="CP54" s="113">
        <v>150.27</v>
      </c>
      <c r="CQ54" s="89"/>
      <c r="CR54" s="7">
        <v>21.22</v>
      </c>
      <c r="CS54" s="7">
        <v>38.17</v>
      </c>
      <c r="CT54" s="7">
        <v>45.83</v>
      </c>
      <c r="CU54" s="7">
        <v>53.03</v>
      </c>
      <c r="CV54" s="7">
        <v>58.33</v>
      </c>
      <c r="CW54" s="7">
        <v>63.63</v>
      </c>
      <c r="CX54" s="7">
        <v>68.18</v>
      </c>
      <c r="CY54" s="7">
        <v>72.72</v>
      </c>
      <c r="CZ54" s="7">
        <v>76.35</v>
      </c>
      <c r="DA54" s="7">
        <v>79.98</v>
      </c>
      <c r="DB54" s="7"/>
      <c r="DC54" s="7"/>
      <c r="DE54" s="28"/>
      <c r="DF54" s="7">
        <v>14</v>
      </c>
      <c r="DG54" s="7">
        <v>24.83</v>
      </c>
      <c r="DH54" s="28"/>
      <c r="DI54" s="7">
        <v>12.33</v>
      </c>
      <c r="DJ54" s="7">
        <v>23.5</v>
      </c>
      <c r="DK54" s="7">
        <v>52.58</v>
      </c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31"/>
      <c r="EB54" s="8" t="s">
        <v>2</v>
      </c>
      <c r="EC54" s="9"/>
      <c r="ED54" s="89"/>
      <c r="EE54" s="7">
        <v>26.63</v>
      </c>
      <c r="EF54" s="7">
        <v>46.05</v>
      </c>
      <c r="EG54" s="7">
        <v>52.92</v>
      </c>
      <c r="EH54" s="7">
        <v>60.37</v>
      </c>
      <c r="EI54" s="7">
        <v>81.84</v>
      </c>
      <c r="EJ54" s="7">
        <v>102.8</v>
      </c>
      <c r="EK54" s="7">
        <v>113.6</v>
      </c>
      <c r="EL54" s="7">
        <v>123.77</v>
      </c>
      <c r="EM54" s="113">
        <v>135.02</v>
      </c>
      <c r="EN54" s="7">
        <v>146.27</v>
      </c>
      <c r="EO54" s="7">
        <v>170.44</v>
      </c>
      <c r="EP54" s="7">
        <v>180.4</v>
      </c>
      <c r="EQ54" s="7">
        <v>190.35</v>
      </c>
      <c r="ER54" s="113">
        <v>199.64</v>
      </c>
      <c r="ES54" s="113">
        <v>208.93</v>
      </c>
      <c r="ET54" s="113">
        <v>240.27</v>
      </c>
      <c r="EU54" s="89"/>
      <c r="EV54" s="7">
        <v>24.31</v>
      </c>
      <c r="EW54" s="7">
        <v>43.72</v>
      </c>
      <c r="EX54" s="7">
        <v>52.5</v>
      </c>
      <c r="EY54" s="7">
        <v>60.74</v>
      </c>
      <c r="EZ54" s="7">
        <v>66.81</v>
      </c>
      <c r="FA54" s="7">
        <v>72.89</v>
      </c>
      <c r="FB54" s="7">
        <v>78.09</v>
      </c>
      <c r="FC54" s="7">
        <v>83.29</v>
      </c>
      <c r="FD54" s="7">
        <v>87.46</v>
      </c>
      <c r="FE54" s="7">
        <v>91.62</v>
      </c>
      <c r="FF54" s="7"/>
      <c r="FG54" s="7"/>
      <c r="FI54" s="28"/>
      <c r="FJ54" s="7">
        <v>16.04</v>
      </c>
      <c r="FK54" s="7">
        <v>28.45</v>
      </c>
      <c r="FL54" s="28"/>
      <c r="FM54" s="7">
        <v>14.13</v>
      </c>
      <c r="FN54" s="7">
        <v>26.92</v>
      </c>
      <c r="FO54" s="7">
        <v>60.23</v>
      </c>
      <c r="FP54" s="28"/>
      <c r="FQ54" s="28"/>
      <c r="FR54" s="28"/>
      <c r="FS54" s="28"/>
      <c r="FT54" s="28"/>
      <c r="FU54" s="28"/>
      <c r="FV54" s="28"/>
      <c r="FW54" s="28"/>
      <c r="FX54" s="28"/>
      <c r="FY54" s="89"/>
      <c r="FZ54" s="28"/>
      <c r="GA54" s="28"/>
      <c r="GB54" s="28"/>
      <c r="GC54" s="28"/>
      <c r="GD54" s="28"/>
      <c r="GE54" s="31"/>
      <c r="GG54" s="8" t="s">
        <v>2</v>
      </c>
      <c r="GH54" s="9"/>
      <c r="GI54" s="89"/>
      <c r="GJ54" s="7">
        <v>12.07</v>
      </c>
      <c r="GK54" s="7">
        <v>23.52</v>
      </c>
      <c r="GL54" s="7">
        <v>34.29</v>
      </c>
      <c r="GM54" s="7">
        <v>44.6</v>
      </c>
      <c r="GN54" s="7">
        <v>54.14</v>
      </c>
      <c r="GO54" s="7">
        <v>63.46</v>
      </c>
      <c r="GP54" s="7">
        <v>72.55</v>
      </c>
      <c r="GQ54" s="7">
        <v>81.1</v>
      </c>
      <c r="GR54" s="113">
        <v>89.57</v>
      </c>
      <c r="GS54" s="7">
        <v>98.05</v>
      </c>
      <c r="GT54" s="7">
        <v>114.01</v>
      </c>
      <c r="GU54" s="7">
        <v>121.61</v>
      </c>
      <c r="GV54" s="7">
        <v>129.21</v>
      </c>
      <c r="GW54" s="113">
        <v>136.58</v>
      </c>
      <c r="GX54" s="113">
        <v>143.95</v>
      </c>
      <c r="GY54" s="113">
        <v>172.12</v>
      </c>
      <c r="GZ54" s="89"/>
      <c r="HA54" s="7">
        <v>24.31</v>
      </c>
      <c r="HB54" s="7">
        <v>43.72</v>
      </c>
      <c r="HC54" s="7">
        <v>52.5</v>
      </c>
      <c r="HD54" s="7">
        <v>60.74</v>
      </c>
      <c r="HE54" s="7">
        <v>66.81</v>
      </c>
      <c r="HF54" s="7">
        <v>72.89</v>
      </c>
      <c r="HG54" s="7">
        <v>78.09</v>
      </c>
      <c r="HH54" s="7">
        <v>83.29</v>
      </c>
      <c r="HI54" s="7">
        <v>87.46</v>
      </c>
      <c r="HJ54" s="7">
        <v>91.62</v>
      </c>
      <c r="HK54" s="7"/>
      <c r="HL54" s="7"/>
      <c r="HN54" s="28"/>
      <c r="HO54" s="7">
        <v>16.04</v>
      </c>
      <c r="HP54" s="7">
        <v>28.45</v>
      </c>
      <c r="HQ54" s="28"/>
      <c r="HR54" s="7">
        <v>14.13</v>
      </c>
      <c r="HS54" s="7">
        <v>26.92</v>
      </c>
      <c r="HT54" s="7">
        <v>60.23</v>
      </c>
      <c r="HU54" s="28"/>
      <c r="HV54" s="28"/>
      <c r="HW54" s="28"/>
      <c r="HX54" s="28"/>
      <c r="HY54" s="89" t="s">
        <v>138</v>
      </c>
      <c r="HZ54" s="28" t="s">
        <v>129</v>
      </c>
      <c r="IB54" s="28"/>
      <c r="IC54" s="28"/>
      <c r="ID54" s="89"/>
      <c r="IE54" s="28"/>
      <c r="IF54" s="28"/>
      <c r="IG54" s="28"/>
      <c r="IH54" s="28"/>
      <c r="II54" s="28"/>
      <c r="IJ54" s="31"/>
    </row>
    <row r="55" spans="10:244" ht="12.75">
      <c r="J55" s="51" t="s">
        <v>54</v>
      </c>
      <c r="K55" s="41">
        <f>(IF($J$48="",(K31+K37+K43),""))</f>
      </c>
      <c r="L55" s="42">
        <f>(IF($J$48="",(C126+G126+H126),""))</f>
      </c>
      <c r="M55" s="42" t="str">
        <f>IF($J$48="",D132,"N/A")</f>
        <v>N/A</v>
      </c>
      <c r="N55" s="42"/>
      <c r="O55" s="59"/>
      <c r="P55" s="60"/>
      <c r="Q55" s="60" t="str">
        <f>IF(M54="N/A","N/A",IF($L$13&gt;0,((BR50*((100-$L$12)/100))+((BR53-$BR$50)*$L$13/100)),((BR50*((100-$L$12)/100))+((BR53-$BR$50)))))</f>
        <v>N/A</v>
      </c>
      <c r="R55" s="61"/>
      <c r="S55" s="31"/>
      <c r="U55" s="10" t="s">
        <v>3</v>
      </c>
      <c r="V55" s="11"/>
      <c r="W55" s="89"/>
      <c r="X55" s="7">
        <v>14.46</v>
      </c>
      <c r="Y55" s="7">
        <v>28.18</v>
      </c>
      <c r="Z55" s="7">
        <v>41.05</v>
      </c>
      <c r="AA55" s="7">
        <v>53.42</v>
      </c>
      <c r="AB55" s="7">
        <v>64.86</v>
      </c>
      <c r="AC55" s="7">
        <v>76</v>
      </c>
      <c r="AD55" s="7">
        <v>86.89</v>
      </c>
      <c r="AE55" s="7">
        <v>97.11</v>
      </c>
      <c r="AF55" s="113">
        <v>107.26</v>
      </c>
      <c r="AG55" s="7">
        <v>117.42</v>
      </c>
      <c r="AH55" s="7">
        <v>136.55</v>
      </c>
      <c r="AI55" s="7">
        <v>145.63</v>
      </c>
      <c r="AJ55" s="7">
        <v>154.71</v>
      </c>
      <c r="AK55" s="153">
        <v>163.54</v>
      </c>
      <c r="AL55" s="46">
        <v>172.37</v>
      </c>
      <c r="AM55" s="47">
        <v>206.09</v>
      </c>
      <c r="AN55" s="89"/>
      <c r="AO55" s="7">
        <v>29.11</v>
      </c>
      <c r="AP55" s="7">
        <v>52.85</v>
      </c>
      <c r="AQ55" s="7">
        <v>63.38</v>
      </c>
      <c r="AR55" s="7">
        <v>73.34</v>
      </c>
      <c r="AS55" s="7">
        <v>80.67</v>
      </c>
      <c r="AT55" s="7">
        <v>88</v>
      </c>
      <c r="AU55" s="7">
        <v>94.29</v>
      </c>
      <c r="AV55" s="7">
        <v>100.58</v>
      </c>
      <c r="AW55" s="7">
        <v>105.62</v>
      </c>
      <c r="AX55" s="7">
        <v>110.65</v>
      </c>
      <c r="AY55" s="7"/>
      <c r="AZ55" s="7"/>
      <c r="BB55" s="28"/>
      <c r="BC55" s="7">
        <v>14</v>
      </c>
      <c r="BD55" s="7">
        <v>25.85</v>
      </c>
      <c r="BE55" s="28"/>
      <c r="BF55" s="7">
        <v>12.15</v>
      </c>
      <c r="BG55" s="7">
        <v>23.15</v>
      </c>
      <c r="BH55" s="7">
        <v>51.77</v>
      </c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31"/>
      <c r="BX55" s="10" t="s">
        <v>3</v>
      </c>
      <c r="BY55" s="11"/>
      <c r="BZ55" s="89"/>
      <c r="CA55" s="7">
        <v>15.67</v>
      </c>
      <c r="CB55" s="7">
        <v>30.53</v>
      </c>
      <c r="CC55" s="7">
        <v>44.47</v>
      </c>
      <c r="CD55" s="7">
        <v>57.87</v>
      </c>
      <c r="CE55" s="7">
        <v>70.27</v>
      </c>
      <c r="CF55" s="7">
        <v>82.33</v>
      </c>
      <c r="CG55" s="7">
        <v>94.13</v>
      </c>
      <c r="CH55" s="7">
        <v>105.2</v>
      </c>
      <c r="CI55" s="113">
        <v>116.2</v>
      </c>
      <c r="CJ55" s="7">
        <v>127.2</v>
      </c>
      <c r="CK55" s="7">
        <v>147.93</v>
      </c>
      <c r="CL55" s="7">
        <v>157.77</v>
      </c>
      <c r="CM55" s="7">
        <v>167.6</v>
      </c>
      <c r="CN55" s="153">
        <v>177.17</v>
      </c>
      <c r="CO55" s="46">
        <v>186.73</v>
      </c>
      <c r="CP55" s="47">
        <v>223.27</v>
      </c>
      <c r="CQ55" s="89"/>
      <c r="CR55" s="7">
        <v>31.53</v>
      </c>
      <c r="CS55" s="7">
        <v>57.25</v>
      </c>
      <c r="CT55" s="7">
        <v>68.67</v>
      </c>
      <c r="CU55" s="7">
        <v>79.45</v>
      </c>
      <c r="CV55" s="7">
        <v>87.39</v>
      </c>
      <c r="CW55" s="7">
        <v>95.33</v>
      </c>
      <c r="CX55" s="7">
        <v>102.15</v>
      </c>
      <c r="CY55" s="7">
        <v>108.97</v>
      </c>
      <c r="CZ55" s="7">
        <v>114.42</v>
      </c>
      <c r="DA55" s="7">
        <v>119.87</v>
      </c>
      <c r="DB55" s="7"/>
      <c r="DC55" s="7"/>
      <c r="DE55" s="28"/>
      <c r="DF55" s="7">
        <v>15.17</v>
      </c>
      <c r="DG55" s="7">
        <v>28</v>
      </c>
      <c r="DH55" s="28"/>
      <c r="DI55" s="7">
        <v>13.17</v>
      </c>
      <c r="DJ55" s="7">
        <v>25.08</v>
      </c>
      <c r="DK55" s="7">
        <v>56.08</v>
      </c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31"/>
      <c r="EB55" s="10" t="s">
        <v>3</v>
      </c>
      <c r="EC55" s="11"/>
      <c r="ED55" s="89"/>
      <c r="EE55" s="7">
        <v>37.17</v>
      </c>
      <c r="EF55" s="7">
        <v>65.75</v>
      </c>
      <c r="EG55" s="7">
        <v>76.12</v>
      </c>
      <c r="EH55" s="7">
        <v>86.2</v>
      </c>
      <c r="EI55" s="7">
        <v>117.78</v>
      </c>
      <c r="EJ55" s="7">
        <v>148.51</v>
      </c>
      <c r="EK55" s="7">
        <v>163.11</v>
      </c>
      <c r="EL55" s="7">
        <v>176.8</v>
      </c>
      <c r="EM55" s="113">
        <v>192.87</v>
      </c>
      <c r="EN55" s="7">
        <v>208.93</v>
      </c>
      <c r="EO55" s="7">
        <v>243.47</v>
      </c>
      <c r="EP55" s="7">
        <v>257.68</v>
      </c>
      <c r="EQ55" s="7">
        <v>271.9</v>
      </c>
      <c r="ER55" s="46">
        <v>285.17</v>
      </c>
      <c r="ES55" s="46">
        <v>298.45</v>
      </c>
      <c r="ET55" s="47">
        <v>343.21</v>
      </c>
      <c r="EU55" s="89"/>
      <c r="EV55" s="7">
        <v>36.12</v>
      </c>
      <c r="EW55" s="7">
        <v>65.58</v>
      </c>
      <c r="EX55" s="7">
        <v>78.65</v>
      </c>
      <c r="EY55" s="7">
        <v>91.01</v>
      </c>
      <c r="EZ55" s="7">
        <v>100.1</v>
      </c>
      <c r="FA55" s="7">
        <v>109.2</v>
      </c>
      <c r="FB55" s="7">
        <v>117.01</v>
      </c>
      <c r="FC55" s="7">
        <v>124.82</v>
      </c>
      <c r="FD55" s="7">
        <v>131.06</v>
      </c>
      <c r="FE55" s="7">
        <v>137.31</v>
      </c>
      <c r="FF55" s="7"/>
      <c r="FG55" s="7"/>
      <c r="FI55" s="28"/>
      <c r="FJ55" s="7">
        <v>17.37</v>
      </c>
      <c r="FK55" s="7">
        <v>32.07</v>
      </c>
      <c r="FL55" s="28"/>
      <c r="FM55" s="7">
        <v>15.08</v>
      </c>
      <c r="FN55" s="7">
        <v>28.73</v>
      </c>
      <c r="FO55" s="7">
        <v>64.24</v>
      </c>
      <c r="FP55" s="28"/>
      <c r="FQ55" s="28"/>
      <c r="FR55" s="28"/>
      <c r="FS55" s="28"/>
      <c r="FT55" s="28"/>
      <c r="FU55" s="28"/>
      <c r="FV55" s="28"/>
      <c r="FW55" s="28"/>
      <c r="FX55" s="28"/>
      <c r="FY55" s="89"/>
      <c r="FZ55" s="28"/>
      <c r="GA55" s="28"/>
      <c r="GB55" s="28"/>
      <c r="GC55" s="28"/>
      <c r="GD55" s="28"/>
      <c r="GE55" s="31"/>
      <c r="GG55" s="10" t="s">
        <v>3</v>
      </c>
      <c r="GH55" s="11"/>
      <c r="GI55" s="89"/>
      <c r="GJ55" s="7">
        <v>17.95</v>
      </c>
      <c r="GK55" s="7">
        <v>34.97</v>
      </c>
      <c r="GL55" s="7">
        <v>50.93</v>
      </c>
      <c r="GM55" s="7">
        <v>66.28</v>
      </c>
      <c r="GN55" s="7">
        <v>80.49</v>
      </c>
      <c r="GO55" s="7">
        <v>94.31</v>
      </c>
      <c r="GP55" s="7">
        <v>107.83</v>
      </c>
      <c r="GQ55" s="7">
        <v>120.5</v>
      </c>
      <c r="GR55" s="113">
        <v>133.1</v>
      </c>
      <c r="GS55" s="7">
        <v>145.7</v>
      </c>
      <c r="GT55" s="7">
        <v>169.45</v>
      </c>
      <c r="GU55" s="7">
        <v>180.71</v>
      </c>
      <c r="GV55" s="7">
        <v>191.98</v>
      </c>
      <c r="GW55" s="46">
        <v>202.94</v>
      </c>
      <c r="GX55" s="46">
        <v>213.89</v>
      </c>
      <c r="GY55" s="47">
        <v>255.74</v>
      </c>
      <c r="GZ55" s="89"/>
      <c r="HA55" s="7">
        <v>36.12</v>
      </c>
      <c r="HB55" s="7">
        <v>65.58</v>
      </c>
      <c r="HC55" s="7">
        <v>78.65</v>
      </c>
      <c r="HD55" s="7">
        <v>91.01</v>
      </c>
      <c r="HE55" s="7">
        <v>100.1</v>
      </c>
      <c r="HF55" s="7">
        <v>109.2</v>
      </c>
      <c r="HG55" s="7">
        <v>117.01</v>
      </c>
      <c r="HH55" s="7">
        <v>124.82</v>
      </c>
      <c r="HI55" s="7">
        <v>131.06</v>
      </c>
      <c r="HJ55" s="7">
        <v>137.31</v>
      </c>
      <c r="HK55" s="7"/>
      <c r="HL55" s="7"/>
      <c r="HN55" s="28"/>
      <c r="HO55" s="7">
        <v>17.37</v>
      </c>
      <c r="HP55" s="7">
        <v>32.07</v>
      </c>
      <c r="HQ55" s="28"/>
      <c r="HR55" s="7">
        <v>15.08</v>
      </c>
      <c r="HS55" s="7">
        <v>28.73</v>
      </c>
      <c r="HT55" s="7">
        <v>64.24</v>
      </c>
      <c r="HU55" s="28"/>
      <c r="HV55" s="28"/>
      <c r="HW55" s="28"/>
      <c r="HX55" s="28"/>
      <c r="HY55" s="89" t="s">
        <v>139</v>
      </c>
      <c r="HZ55" s="28" t="s">
        <v>129</v>
      </c>
      <c r="IB55" s="28"/>
      <c r="IC55" s="28"/>
      <c r="ID55" s="89"/>
      <c r="IE55" s="28"/>
      <c r="IF55" s="28"/>
      <c r="IG55" s="28"/>
      <c r="IH55" s="28"/>
      <c r="II55" s="28"/>
      <c r="IJ55" s="31"/>
    </row>
    <row r="56" spans="10:244" ht="6" customHeight="1">
      <c r="J56" s="32"/>
      <c r="K56" s="28"/>
      <c r="L56" s="41"/>
      <c r="M56" s="41"/>
      <c r="N56" s="41"/>
      <c r="O56" s="41"/>
      <c r="P56" s="41"/>
      <c r="Q56" s="28"/>
      <c r="R56" s="28"/>
      <c r="S56" s="31"/>
      <c r="U56" s="27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G56" s="28"/>
      <c r="AH56" s="28"/>
      <c r="AI56" s="28"/>
      <c r="AJ56" s="28"/>
      <c r="AK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42" t="str">
        <f>M52</f>
        <v>N/A</v>
      </c>
      <c r="BS56" s="42" t="str">
        <f>M53</f>
        <v>N/A</v>
      </c>
      <c r="BT56" s="42" t="str">
        <f>M54</f>
        <v>N/A</v>
      </c>
      <c r="BU56" s="43" t="str">
        <f>M55</f>
        <v>N/A</v>
      </c>
      <c r="BV56" s="31"/>
      <c r="BX56" s="27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J56" s="28"/>
      <c r="CK56" s="28"/>
      <c r="CL56" s="28"/>
      <c r="CM56" s="28"/>
      <c r="CN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42" t="e">
        <f>#REF!</f>
        <v>#REF!</v>
      </c>
      <c r="DW56" s="42" t="e">
        <f>#REF!</f>
        <v>#REF!</v>
      </c>
      <c r="DX56" s="42" t="e">
        <f>#REF!</f>
        <v>#REF!</v>
      </c>
      <c r="DY56" s="43" t="e">
        <f>#REF!</f>
        <v>#REF!</v>
      </c>
      <c r="DZ56" s="31"/>
      <c r="EB56" s="27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N56" s="28"/>
      <c r="EO56" s="28"/>
      <c r="EP56" s="28"/>
      <c r="EQ56" s="28"/>
      <c r="ER56" s="28"/>
      <c r="EU56" s="28"/>
      <c r="EV56" s="28"/>
      <c r="EW56" s="28"/>
      <c r="EX56" s="28"/>
      <c r="EY56" s="28"/>
      <c r="EZ56" s="28"/>
      <c r="FA56" s="28"/>
      <c r="FB56" s="28"/>
      <c r="FC56" s="28"/>
      <c r="FD56" s="28"/>
      <c r="FE56" s="28"/>
      <c r="FF56" s="28"/>
      <c r="FG56" s="28"/>
      <c r="FH56" s="28"/>
      <c r="FI56" s="28"/>
      <c r="FJ56" s="28"/>
      <c r="FK56" s="28"/>
      <c r="FL56" s="28"/>
      <c r="FM56" s="28"/>
      <c r="FN56" s="28"/>
      <c r="FO56" s="28"/>
      <c r="FP56" s="28"/>
      <c r="FQ56" s="28"/>
      <c r="FR56" s="28"/>
      <c r="FS56" s="28"/>
      <c r="FT56" s="28"/>
      <c r="FU56" s="28"/>
      <c r="FV56" s="28"/>
      <c r="FW56" s="28"/>
      <c r="FX56" s="28"/>
      <c r="FY56" s="89"/>
      <c r="FZ56" s="28"/>
      <c r="GA56" s="42" t="e">
        <f>#REF!</f>
        <v>#REF!</v>
      </c>
      <c r="GB56" s="42" t="e">
        <f>#REF!</f>
        <v>#REF!</v>
      </c>
      <c r="GC56" s="42" t="e">
        <f>#REF!</f>
        <v>#REF!</v>
      </c>
      <c r="GD56" s="43" t="e">
        <f>#REF!</f>
        <v>#REF!</v>
      </c>
      <c r="GE56" s="31"/>
      <c r="GG56" s="27"/>
      <c r="GH56" s="28"/>
      <c r="GI56" s="28"/>
      <c r="GJ56" s="28"/>
      <c r="GK56" s="28"/>
      <c r="GL56" s="28"/>
      <c r="GM56" s="28"/>
      <c r="GN56" s="28"/>
      <c r="GO56" s="28"/>
      <c r="GP56" s="28"/>
      <c r="GQ56" s="28"/>
      <c r="GS56" s="28"/>
      <c r="GT56" s="28"/>
      <c r="GU56" s="28"/>
      <c r="GV56" s="28"/>
      <c r="GW56" s="28"/>
      <c r="GZ56" s="28"/>
      <c r="HA56" s="28"/>
      <c r="HB56" s="28"/>
      <c r="HC56" s="28"/>
      <c r="HD56" s="28"/>
      <c r="HE56" s="28"/>
      <c r="HF56" s="28"/>
      <c r="HG56" s="28"/>
      <c r="HH56" s="28"/>
      <c r="HI56" s="28"/>
      <c r="HJ56" s="28"/>
      <c r="HK56" s="28"/>
      <c r="HL56" s="28"/>
      <c r="HM56" s="28"/>
      <c r="HN56" s="28"/>
      <c r="HO56" s="28"/>
      <c r="HP56" s="28"/>
      <c r="HQ56" s="28"/>
      <c r="HR56" s="28"/>
      <c r="HS56" s="28"/>
      <c r="HT56" s="28"/>
      <c r="HU56" s="28"/>
      <c r="HV56" s="28"/>
      <c r="HW56" s="28"/>
      <c r="HX56" s="28"/>
      <c r="HY56" s="89" t="s">
        <v>140</v>
      </c>
      <c r="HZ56" s="28" t="s">
        <v>129</v>
      </c>
      <c r="IB56" s="28"/>
      <c r="IC56" s="28"/>
      <c r="ID56" s="89"/>
      <c r="IE56" s="28"/>
      <c r="IF56" s="42">
        <f>FY52</f>
        <v>0</v>
      </c>
      <c r="IG56" s="42">
        <f>FY53</f>
        <v>0</v>
      </c>
      <c r="IH56" s="42">
        <f>FY54</f>
        <v>0</v>
      </c>
      <c r="II56" s="43">
        <f>FY55</f>
        <v>0</v>
      </c>
      <c r="IJ56" s="31"/>
    </row>
    <row r="57" spans="10:244" ht="12.75" customHeight="1">
      <c r="J57" s="220" t="str">
        <f>IF($R$12="No","COMPOSITE RATING SHOULD NOT BE USED WHEN OFFERING DUAL OPTION PLANS","")</f>
        <v>COMPOSITE RATING SHOULD NOT BE USED WHEN OFFERING DUAL OPTION PLANS</v>
      </c>
      <c r="K57" s="221"/>
      <c r="L57" s="221"/>
      <c r="M57" s="221"/>
      <c r="N57" s="221"/>
      <c r="O57" s="221"/>
      <c r="P57" s="221"/>
      <c r="Q57" s="221"/>
      <c r="R57" s="221"/>
      <c r="S57" s="35"/>
      <c r="U57" s="27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G57" s="28"/>
      <c r="AH57" s="28"/>
      <c r="AI57" s="28"/>
      <c r="AJ57" s="28"/>
      <c r="AK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42" t="e">
        <f>(($BR$56*$O$26)/P$26)</f>
        <v>#VALUE!</v>
      </c>
      <c r="BS57" s="42" t="e">
        <f>(($BS$56*$O$26)/P$26)</f>
        <v>#VALUE!</v>
      </c>
      <c r="BT57" s="42" t="e">
        <f>(($BT$56*$O$26)/P$26)</f>
        <v>#VALUE!</v>
      </c>
      <c r="BU57" s="42" t="e">
        <f>(($BU$56*$O$26)/P$26)</f>
        <v>#VALUE!</v>
      </c>
      <c r="BV57" s="31"/>
      <c r="BX57" s="27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J57" s="28"/>
      <c r="CK57" s="28"/>
      <c r="CL57" s="28"/>
      <c r="CM57" s="28"/>
      <c r="CN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  <c r="DV57" s="42" t="e">
        <f>(($BR$56*$O$26)/BS$26)</f>
        <v>#VALUE!</v>
      </c>
      <c r="DW57" s="42" t="e">
        <f>(($BS$56*$O$26)/BS$26)</f>
        <v>#VALUE!</v>
      </c>
      <c r="DX57" s="42" t="e">
        <f>(($BT$56*$O$26)/BS$26)</f>
        <v>#VALUE!</v>
      </c>
      <c r="DY57" s="42" t="e">
        <f>(($BU$56*$O$26)/BS$26)</f>
        <v>#VALUE!</v>
      </c>
      <c r="DZ57" s="31"/>
      <c r="EB57" s="27"/>
      <c r="EC57" s="28"/>
      <c r="ED57" s="28"/>
      <c r="EE57" s="28"/>
      <c r="EF57" s="28"/>
      <c r="EG57" s="28"/>
      <c r="EH57" s="28"/>
      <c r="EI57" s="28"/>
      <c r="EJ57" s="28"/>
      <c r="EK57" s="28"/>
      <c r="EL57" s="28"/>
      <c r="EN57" s="28"/>
      <c r="EO57" s="28"/>
      <c r="EP57" s="28"/>
      <c r="EQ57" s="28"/>
      <c r="ER57" s="28"/>
      <c r="EU57" s="28"/>
      <c r="EV57" s="28"/>
      <c r="EW57" s="28"/>
      <c r="EX57" s="28"/>
      <c r="EY57" s="28"/>
      <c r="EZ57" s="28"/>
      <c r="FA57" s="28"/>
      <c r="FB57" s="28"/>
      <c r="FC57" s="28"/>
      <c r="FD57" s="28"/>
      <c r="FE57" s="28"/>
      <c r="FF57" s="28"/>
      <c r="FG57" s="28"/>
      <c r="FH57" s="28"/>
      <c r="FI57" s="28"/>
      <c r="FJ57" s="28"/>
      <c r="FK57" s="28"/>
      <c r="FL57" s="28"/>
      <c r="FM57" s="28"/>
      <c r="FN57" s="28"/>
      <c r="FO57" s="28"/>
      <c r="FP57" s="28"/>
      <c r="FQ57" s="28"/>
      <c r="FR57" s="28"/>
      <c r="FS57" s="28"/>
      <c r="FT57" s="28"/>
      <c r="FU57" s="28"/>
      <c r="FV57" s="28"/>
      <c r="FW57" s="28"/>
      <c r="FX57" s="28"/>
      <c r="FY57" s="89"/>
      <c r="FZ57" s="28"/>
      <c r="GA57" s="42" t="e">
        <f>(($BR$56*$O$26)/DW$26)</f>
        <v>#VALUE!</v>
      </c>
      <c r="GB57" s="42" t="e">
        <f>(($BS$56*$O$26)/DW$26)</f>
        <v>#VALUE!</v>
      </c>
      <c r="GC57" s="42" t="e">
        <f>(($BT$56*$O$26)/DW$26)</f>
        <v>#VALUE!</v>
      </c>
      <c r="GD57" s="42" t="e">
        <f>(($BU$56*$O$26)/DW$26)</f>
        <v>#VALUE!</v>
      </c>
      <c r="GE57" s="31"/>
      <c r="GG57" s="27"/>
      <c r="GH57" s="28"/>
      <c r="GI57" s="28"/>
      <c r="GJ57" s="28"/>
      <c r="GK57" s="28"/>
      <c r="GL57" s="28"/>
      <c r="GM57" s="28"/>
      <c r="GN57" s="28"/>
      <c r="GO57" s="28"/>
      <c r="GP57" s="28"/>
      <c r="GQ57" s="28"/>
      <c r="GS57" s="28"/>
      <c r="GT57" s="28"/>
      <c r="GU57" s="28"/>
      <c r="GV57" s="28"/>
      <c r="GW57" s="28"/>
      <c r="GZ57" s="28"/>
      <c r="HA57" s="28"/>
      <c r="HB57" s="28"/>
      <c r="HC57" s="28"/>
      <c r="HD57" s="28"/>
      <c r="HE57" s="28"/>
      <c r="HF57" s="28"/>
      <c r="HG57" s="28"/>
      <c r="HH57" s="28"/>
      <c r="HI57" s="28"/>
      <c r="HJ57" s="28"/>
      <c r="HK57" s="28"/>
      <c r="HL57" s="28"/>
      <c r="HM57" s="28"/>
      <c r="HN57" s="28"/>
      <c r="HO57" s="28"/>
      <c r="HP57" s="28"/>
      <c r="HQ57" s="28"/>
      <c r="HR57" s="28"/>
      <c r="HS57" s="28"/>
      <c r="HT57" s="28"/>
      <c r="HU57" s="28"/>
      <c r="HV57" s="28"/>
      <c r="HW57" s="28"/>
      <c r="HX57" s="28"/>
      <c r="HY57" s="89" t="s">
        <v>141</v>
      </c>
      <c r="HZ57" s="28" t="s">
        <v>129</v>
      </c>
      <c r="IB57" s="28"/>
      <c r="IC57" s="28"/>
      <c r="ID57" s="89"/>
      <c r="IE57" s="28"/>
      <c r="IF57" s="42" t="e">
        <f>(($BR$56*$O$26)/GB$26)</f>
        <v>#VALUE!</v>
      </c>
      <c r="IG57" s="42" t="e">
        <f>(($BS$56*$O$26)/GB$26)</f>
        <v>#VALUE!</v>
      </c>
      <c r="IH57" s="42" t="e">
        <f>(($BT$56*$O$26)/GB$26)</f>
        <v>#VALUE!</v>
      </c>
      <c r="II57" s="42" t="e">
        <f>(($BU$56*$O$26)/GB$26)</f>
        <v>#VALUE!</v>
      </c>
      <c r="IJ57" s="31"/>
    </row>
    <row r="58" spans="9:244" ht="6" customHeight="1">
      <c r="I58" s="198"/>
      <c r="J58" s="199"/>
      <c r="K58" s="199"/>
      <c r="L58" s="199"/>
      <c r="M58" s="199"/>
      <c r="N58" s="199"/>
      <c r="O58" s="199"/>
      <c r="P58" s="199"/>
      <c r="Q58" s="199"/>
      <c r="R58" s="199"/>
      <c r="U58" s="27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G58" s="28"/>
      <c r="AH58" s="28"/>
      <c r="AI58" s="28"/>
      <c r="AJ58" s="28"/>
      <c r="AK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89"/>
      <c r="BG58" s="89"/>
      <c r="BH58" s="89"/>
      <c r="BI58" s="28"/>
      <c r="BJ58" s="28"/>
      <c r="BK58" s="28"/>
      <c r="BL58" s="28"/>
      <c r="BM58" s="28"/>
      <c r="BN58" s="28"/>
      <c r="BO58" s="28"/>
      <c r="BP58" s="28"/>
      <c r="BQ58" s="28"/>
      <c r="BR58" s="42" t="e">
        <f>(($BR$56*$O$26)/Q$26)</f>
        <v>#VALUE!</v>
      </c>
      <c r="BS58" s="42" t="e">
        <f>(($BS$56*$O$26)/Q$26)</f>
        <v>#VALUE!</v>
      </c>
      <c r="BT58" s="42" t="e">
        <f>(($BT$56*$O$26)/Q$26)</f>
        <v>#VALUE!</v>
      </c>
      <c r="BU58" s="42" t="e">
        <f>(($BU$56*$O$26)/Q$26)</f>
        <v>#VALUE!</v>
      </c>
      <c r="BV58" s="31"/>
      <c r="BX58" s="27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J58" s="28"/>
      <c r="CK58" s="28"/>
      <c r="CL58" s="28"/>
      <c r="CM58" s="28"/>
      <c r="CN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89"/>
      <c r="DJ58" s="89"/>
      <c r="DK58" s="89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42" t="e">
        <f>(($BR$56*$O$26)/BT$26)</f>
        <v>#VALUE!</v>
      </c>
      <c r="DW58" s="42" t="e">
        <f>(($BS$56*$O$26)/BT$26)</f>
        <v>#VALUE!</v>
      </c>
      <c r="DX58" s="42" t="e">
        <f>(($BT$56*$O$26)/BT$26)</f>
        <v>#VALUE!</v>
      </c>
      <c r="DY58" s="42" t="e">
        <f>(($BU$56*$O$26)/BT$26)</f>
        <v>#VALUE!</v>
      </c>
      <c r="DZ58" s="31"/>
      <c r="EB58" s="27"/>
      <c r="EC58" s="28"/>
      <c r="ED58" s="28"/>
      <c r="EE58" s="28"/>
      <c r="EF58" s="28"/>
      <c r="EG58" s="28"/>
      <c r="EH58" s="28"/>
      <c r="EI58" s="28"/>
      <c r="EJ58" s="28"/>
      <c r="EK58" s="28"/>
      <c r="EL58" s="28"/>
      <c r="EN58" s="28"/>
      <c r="EO58" s="28"/>
      <c r="EP58" s="28"/>
      <c r="EQ58" s="28"/>
      <c r="ER58" s="28"/>
      <c r="EU58" s="28"/>
      <c r="EV58" s="28"/>
      <c r="EW58" s="28"/>
      <c r="EX58" s="28"/>
      <c r="EY58" s="28"/>
      <c r="EZ58" s="28"/>
      <c r="FA58" s="28"/>
      <c r="FB58" s="28"/>
      <c r="FC58" s="28"/>
      <c r="FD58" s="28"/>
      <c r="FE58" s="28"/>
      <c r="FF58" s="28"/>
      <c r="FG58" s="28"/>
      <c r="FH58" s="28"/>
      <c r="FI58" s="28"/>
      <c r="FJ58" s="28"/>
      <c r="FK58" s="28"/>
      <c r="FL58" s="28"/>
      <c r="FM58" s="89"/>
      <c r="FN58" s="89"/>
      <c r="FO58" s="89"/>
      <c r="FP58" s="28"/>
      <c r="FQ58" s="28"/>
      <c r="FR58" s="28"/>
      <c r="FS58" s="28"/>
      <c r="FT58" s="28"/>
      <c r="FU58" s="28"/>
      <c r="FV58" s="28"/>
      <c r="FW58" s="28"/>
      <c r="FX58" s="28"/>
      <c r="FY58" s="89"/>
      <c r="FZ58" s="28"/>
      <c r="GA58" s="42" t="e">
        <f>(($BR$56*$O$26)/DX$26)</f>
        <v>#VALUE!</v>
      </c>
      <c r="GB58" s="42" t="e">
        <f>(($BS$56*$O$26)/DX$26)</f>
        <v>#VALUE!</v>
      </c>
      <c r="GC58" s="42" t="e">
        <f>(($BT$56*$O$26)/DX$26)</f>
        <v>#VALUE!</v>
      </c>
      <c r="GD58" s="42" t="e">
        <f>(($BU$56*$O$26)/DX$26)</f>
        <v>#VALUE!</v>
      </c>
      <c r="GE58" s="31"/>
      <c r="GG58" s="27"/>
      <c r="GH58" s="28"/>
      <c r="GI58" s="28"/>
      <c r="GJ58" s="28"/>
      <c r="GK58" s="28"/>
      <c r="GL58" s="28"/>
      <c r="GM58" s="28"/>
      <c r="GN58" s="28"/>
      <c r="GO58" s="28"/>
      <c r="GP58" s="28"/>
      <c r="GQ58" s="28"/>
      <c r="GS58" s="28"/>
      <c r="GT58" s="28"/>
      <c r="GU58" s="28"/>
      <c r="GV58" s="28"/>
      <c r="GW58" s="28"/>
      <c r="GZ58" s="28"/>
      <c r="HA58" s="28"/>
      <c r="HB58" s="28"/>
      <c r="HC58" s="28"/>
      <c r="HD58" s="28"/>
      <c r="HE58" s="28"/>
      <c r="HF58" s="28"/>
      <c r="HG58" s="28"/>
      <c r="HH58" s="28"/>
      <c r="HI58" s="28"/>
      <c r="HJ58" s="28"/>
      <c r="HK58" s="28"/>
      <c r="HL58" s="28"/>
      <c r="HM58" s="28"/>
      <c r="HN58" s="28"/>
      <c r="HO58" s="28"/>
      <c r="HP58" s="28"/>
      <c r="HQ58" s="28"/>
      <c r="HR58" s="89"/>
      <c r="HS58" s="89"/>
      <c r="HT58" s="89"/>
      <c r="HU58" s="28"/>
      <c r="HV58" s="28"/>
      <c r="HW58" s="28"/>
      <c r="HX58" s="28"/>
      <c r="HY58" s="89" t="s">
        <v>142</v>
      </c>
      <c r="HZ58" s="28" t="s">
        <v>129</v>
      </c>
      <c r="IB58" s="28"/>
      <c r="IC58" s="28"/>
      <c r="ID58" s="89"/>
      <c r="IE58" s="28"/>
      <c r="IF58" s="42" t="e">
        <f>(($BR$56*$O$26)/GC$26)</f>
        <v>#VALUE!</v>
      </c>
      <c r="IG58" s="42" t="e">
        <f>(($BS$56*$O$26)/GC$26)</f>
        <v>#VALUE!</v>
      </c>
      <c r="IH58" s="42" t="e">
        <f>(($BT$56*$O$26)/GC$26)</f>
        <v>#VALUE!</v>
      </c>
      <c r="II58" s="42" t="e">
        <f>(($BU$56*$O$26)/GC$26)</f>
        <v>#VALUE!</v>
      </c>
      <c r="IJ58" s="31"/>
    </row>
    <row r="59" spans="9:244" ht="12.75" customHeight="1">
      <c r="I59" s="198" t="s">
        <v>125</v>
      </c>
      <c r="J59" s="199"/>
      <c r="K59" s="199"/>
      <c r="L59" s="199"/>
      <c r="M59" s="199"/>
      <c r="N59" s="199"/>
      <c r="O59" s="199"/>
      <c r="P59" s="199"/>
      <c r="Q59" s="199"/>
      <c r="R59" s="199"/>
      <c r="U59" s="27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G59" s="28"/>
      <c r="AH59" s="28"/>
      <c r="AI59" s="28"/>
      <c r="AJ59" s="28"/>
      <c r="AK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89"/>
      <c r="BG59" s="89"/>
      <c r="BH59" s="89"/>
      <c r="BI59" s="28"/>
      <c r="BJ59" s="28"/>
      <c r="BK59" s="28"/>
      <c r="BL59" s="28"/>
      <c r="BM59" s="28"/>
      <c r="BN59" s="28"/>
      <c r="BO59" s="28"/>
      <c r="BP59" s="28"/>
      <c r="BQ59" s="28"/>
      <c r="BR59" s="42" t="e">
        <f>(($BR$56*$O$26)/R$26)</f>
        <v>#VALUE!</v>
      </c>
      <c r="BS59" s="42" t="e">
        <f>(($BS$56*$O$26)/R$26)</f>
        <v>#VALUE!</v>
      </c>
      <c r="BT59" s="42" t="e">
        <f>(($BT$56*$O$26)/R$26)</f>
        <v>#VALUE!</v>
      </c>
      <c r="BU59" s="42" t="e">
        <f>(($BU$56*$O$26)/R$26)</f>
        <v>#VALUE!</v>
      </c>
      <c r="BV59" s="31"/>
      <c r="BX59" s="27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J59" s="28"/>
      <c r="CK59" s="28"/>
      <c r="CL59" s="28"/>
      <c r="CM59" s="28"/>
      <c r="CN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89"/>
      <c r="DJ59" s="89"/>
      <c r="DK59" s="89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42" t="e">
        <f>(($BR$56*$O$26)/BU$26)</f>
        <v>#VALUE!</v>
      </c>
      <c r="DW59" s="42" t="e">
        <f>(($BS$56*$O$26)/BU$26)</f>
        <v>#VALUE!</v>
      </c>
      <c r="DX59" s="42" t="e">
        <f>(($BT$56*$O$26)/BU$26)</f>
        <v>#VALUE!</v>
      </c>
      <c r="DY59" s="42" t="e">
        <f>(($BU$56*$O$26)/BU$26)</f>
        <v>#VALUE!</v>
      </c>
      <c r="DZ59" s="31"/>
      <c r="EB59" s="27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N59" s="28"/>
      <c r="EO59" s="28"/>
      <c r="EP59" s="28"/>
      <c r="EQ59" s="28"/>
      <c r="ER59" s="28"/>
      <c r="EU59" s="28"/>
      <c r="EV59" s="28"/>
      <c r="EW59" s="28"/>
      <c r="EX59" s="28"/>
      <c r="EY59" s="28"/>
      <c r="EZ59" s="28"/>
      <c r="FA59" s="28"/>
      <c r="FB59" s="28"/>
      <c r="FC59" s="28"/>
      <c r="FD59" s="28"/>
      <c r="FE59" s="28"/>
      <c r="FF59" s="28"/>
      <c r="FG59" s="28"/>
      <c r="FH59" s="28"/>
      <c r="FI59" s="28"/>
      <c r="FJ59" s="28"/>
      <c r="FK59" s="28"/>
      <c r="FL59" s="28"/>
      <c r="FM59" s="89"/>
      <c r="FN59" s="89"/>
      <c r="FO59" s="89"/>
      <c r="FP59" s="28"/>
      <c r="FQ59" s="28"/>
      <c r="FR59" s="28"/>
      <c r="FS59" s="28"/>
      <c r="FT59" s="28"/>
      <c r="FU59" s="28"/>
      <c r="FV59" s="28"/>
      <c r="FW59" s="28"/>
      <c r="FX59" s="28"/>
      <c r="FY59" s="89"/>
      <c r="FZ59" s="28"/>
      <c r="GA59" s="42" t="e">
        <f>(($BR$56*$O$26)/DY$26)</f>
        <v>#VALUE!</v>
      </c>
      <c r="GB59" s="42" t="e">
        <f>(($BS$56*$O$26)/DY$26)</f>
        <v>#VALUE!</v>
      </c>
      <c r="GC59" s="42" t="e">
        <f>(($BT$56*$O$26)/DY$26)</f>
        <v>#VALUE!</v>
      </c>
      <c r="GD59" s="42" t="e">
        <f>(($BU$56*$O$26)/DY$26)</f>
        <v>#VALUE!</v>
      </c>
      <c r="GE59" s="31"/>
      <c r="GG59" s="27"/>
      <c r="GH59" s="28"/>
      <c r="GI59" s="28"/>
      <c r="GJ59" s="28"/>
      <c r="GK59" s="28"/>
      <c r="GL59" s="28"/>
      <c r="GM59" s="28"/>
      <c r="GN59" s="28"/>
      <c r="GO59" s="28"/>
      <c r="GP59" s="28"/>
      <c r="GQ59" s="28"/>
      <c r="GS59" s="28"/>
      <c r="GT59" s="28"/>
      <c r="GU59" s="28"/>
      <c r="GV59" s="28"/>
      <c r="GW59" s="28"/>
      <c r="GZ59" s="28"/>
      <c r="HA59" s="28"/>
      <c r="HB59" s="28"/>
      <c r="HC59" s="28"/>
      <c r="HD59" s="28"/>
      <c r="HE59" s="28"/>
      <c r="HF59" s="28"/>
      <c r="HG59" s="28"/>
      <c r="HH59" s="28"/>
      <c r="HI59" s="28"/>
      <c r="HJ59" s="28"/>
      <c r="HK59" s="28"/>
      <c r="HL59" s="28"/>
      <c r="HM59" s="28"/>
      <c r="HN59" s="28"/>
      <c r="HO59" s="28"/>
      <c r="HP59" s="28"/>
      <c r="HQ59" s="28"/>
      <c r="HR59" s="89"/>
      <c r="HS59" s="89"/>
      <c r="HT59" s="89"/>
      <c r="HU59" s="28"/>
      <c r="HV59" s="28"/>
      <c r="HW59" s="28"/>
      <c r="HX59" s="28"/>
      <c r="HY59" s="89" t="s">
        <v>67</v>
      </c>
      <c r="HZ59" s="191" t="s">
        <v>130</v>
      </c>
      <c r="IB59" s="28"/>
      <c r="IC59" s="28"/>
      <c r="ID59" s="89"/>
      <c r="IE59" s="28"/>
      <c r="IF59" s="42" t="e">
        <f>(($BR$56*$O$26)/GD$26)</f>
        <v>#VALUE!</v>
      </c>
      <c r="IG59" s="42" t="e">
        <f>(($BS$56*$O$26)/GD$26)</f>
        <v>#VALUE!</v>
      </c>
      <c r="IH59" s="42" t="e">
        <f>(($BT$56*$O$26)/GD$26)</f>
        <v>#VALUE!</v>
      </c>
      <c r="II59" s="42" t="e">
        <f>(($BU$56*$O$26)/GD$26)</f>
        <v>#VALUE!</v>
      </c>
      <c r="IJ59" s="31"/>
    </row>
    <row r="60" spans="9:244" ht="6" customHeight="1">
      <c r="I60" s="212"/>
      <c r="J60" s="212"/>
      <c r="K60" s="212"/>
      <c r="L60" s="212"/>
      <c r="M60" s="212"/>
      <c r="N60" s="212"/>
      <c r="O60" s="212"/>
      <c r="P60" s="212"/>
      <c r="Q60" s="212"/>
      <c r="R60" s="212"/>
      <c r="U60" s="33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G60" s="34"/>
      <c r="AH60" s="34"/>
      <c r="AI60" s="34"/>
      <c r="AJ60" s="34"/>
      <c r="AK60" s="28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5"/>
      <c r="BX60" s="33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J60" s="34"/>
      <c r="CK60" s="34"/>
      <c r="CL60" s="34"/>
      <c r="CM60" s="34"/>
      <c r="CN60" s="28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4"/>
      <c r="DU60" s="34"/>
      <c r="DV60" s="34"/>
      <c r="DW60" s="34"/>
      <c r="DX60" s="34"/>
      <c r="DY60" s="34"/>
      <c r="DZ60" s="35"/>
      <c r="EB60" s="33"/>
      <c r="EC60" s="34"/>
      <c r="ED60" s="34"/>
      <c r="EE60" s="34"/>
      <c r="EF60" s="34"/>
      <c r="EG60" s="34"/>
      <c r="EH60" s="34"/>
      <c r="EI60" s="34"/>
      <c r="EJ60" s="34"/>
      <c r="EK60" s="34"/>
      <c r="EL60" s="34"/>
      <c r="EN60" s="34"/>
      <c r="EO60" s="34"/>
      <c r="EP60" s="34"/>
      <c r="EQ60" s="34"/>
      <c r="ER60" s="28"/>
      <c r="EU60" s="34"/>
      <c r="EV60" s="34"/>
      <c r="EW60" s="34"/>
      <c r="EX60" s="34"/>
      <c r="EY60" s="34"/>
      <c r="EZ60" s="34"/>
      <c r="FA60" s="34"/>
      <c r="FB60" s="34"/>
      <c r="FC60" s="34"/>
      <c r="FD60" s="34"/>
      <c r="FE60" s="34"/>
      <c r="FF60" s="34"/>
      <c r="FG60" s="34"/>
      <c r="FH60" s="34"/>
      <c r="FI60" s="34"/>
      <c r="FJ60" s="34"/>
      <c r="FK60" s="34"/>
      <c r="FL60" s="34"/>
      <c r="FM60" s="34"/>
      <c r="FN60" s="34"/>
      <c r="FO60" s="34"/>
      <c r="FP60" s="34"/>
      <c r="FQ60" s="34"/>
      <c r="FR60" s="34"/>
      <c r="FS60" s="34"/>
      <c r="FT60" s="34"/>
      <c r="FU60" s="34"/>
      <c r="FV60" s="34"/>
      <c r="FW60" s="34"/>
      <c r="FX60" s="34"/>
      <c r="FY60" s="96"/>
      <c r="FZ60" s="34"/>
      <c r="GA60" s="34"/>
      <c r="GB60" s="34"/>
      <c r="GC60" s="34"/>
      <c r="GD60" s="34"/>
      <c r="GE60" s="35"/>
      <c r="GG60" s="27"/>
      <c r="GH60" s="28"/>
      <c r="GI60" s="28"/>
      <c r="GJ60" s="28"/>
      <c r="GK60" s="28"/>
      <c r="GL60" s="28"/>
      <c r="GM60" s="28"/>
      <c r="GN60" s="28"/>
      <c r="GO60" s="28"/>
      <c r="GP60" s="28"/>
      <c r="GQ60" s="28"/>
      <c r="GS60" s="28"/>
      <c r="GT60" s="28"/>
      <c r="GU60" s="28"/>
      <c r="GV60" s="28"/>
      <c r="GW60" s="28"/>
      <c r="GZ60" s="28"/>
      <c r="HA60" s="28"/>
      <c r="HB60" s="28"/>
      <c r="HC60" s="28"/>
      <c r="HD60" s="28"/>
      <c r="HE60" s="28"/>
      <c r="HF60" s="28"/>
      <c r="HG60" s="28"/>
      <c r="HH60" s="28"/>
      <c r="HI60" s="28"/>
      <c r="HJ60" s="28"/>
      <c r="HK60" s="28"/>
      <c r="HL60" s="28"/>
      <c r="HM60" s="28"/>
      <c r="HN60" s="28"/>
      <c r="HO60" s="28"/>
      <c r="HP60" s="28"/>
      <c r="HQ60" s="28"/>
      <c r="HR60" s="28"/>
      <c r="HS60" s="28"/>
      <c r="HT60" s="28"/>
      <c r="HU60" s="28"/>
      <c r="HV60" s="28"/>
      <c r="HW60" s="28"/>
      <c r="HX60" s="28"/>
      <c r="HY60" s="89" t="s">
        <v>68</v>
      </c>
      <c r="HZ60" s="191" t="s">
        <v>130</v>
      </c>
      <c r="IB60" s="28"/>
      <c r="IC60" s="28"/>
      <c r="ID60" s="89"/>
      <c r="IE60" s="28"/>
      <c r="IF60" s="28"/>
      <c r="IG60" s="28"/>
      <c r="IH60" s="28"/>
      <c r="II60" s="28"/>
      <c r="IJ60" s="31"/>
    </row>
    <row r="61" spans="9:244" ht="12.75" customHeight="1">
      <c r="I61" s="212" t="s">
        <v>31</v>
      </c>
      <c r="J61" s="212"/>
      <c r="K61" s="212"/>
      <c r="L61" s="212"/>
      <c r="M61" s="212"/>
      <c r="N61" s="212"/>
      <c r="O61" s="212"/>
      <c r="P61" s="212"/>
      <c r="Q61" s="212"/>
      <c r="R61" s="212"/>
      <c r="GG61" s="27"/>
      <c r="GH61" s="28"/>
      <c r="GI61" s="28"/>
      <c r="GJ61" s="28"/>
      <c r="GK61" s="28"/>
      <c r="GL61" s="28"/>
      <c r="GM61" s="28"/>
      <c r="GN61" s="28"/>
      <c r="GO61" s="28"/>
      <c r="GP61" s="28"/>
      <c r="GQ61" s="28"/>
      <c r="GS61" s="28"/>
      <c r="GT61" s="28"/>
      <c r="GU61" s="28"/>
      <c r="GV61" s="28"/>
      <c r="GW61" s="28"/>
      <c r="GZ61" s="28"/>
      <c r="HA61" s="28"/>
      <c r="HB61" s="28"/>
      <c r="HC61" s="28"/>
      <c r="HD61" s="28"/>
      <c r="HE61" s="28"/>
      <c r="HF61" s="28"/>
      <c r="HG61" s="28"/>
      <c r="HH61" s="28"/>
      <c r="HI61" s="28"/>
      <c r="HJ61" s="28"/>
      <c r="HK61" s="28"/>
      <c r="HL61" s="28"/>
      <c r="HM61" s="28"/>
      <c r="HN61" s="28"/>
      <c r="HO61" s="28"/>
      <c r="HP61" s="28"/>
      <c r="HQ61" s="28"/>
      <c r="HR61" s="28"/>
      <c r="HS61" s="28"/>
      <c r="HT61" s="28"/>
      <c r="HU61" s="28"/>
      <c r="HV61" s="28"/>
      <c r="HW61" s="28"/>
      <c r="HX61" s="28"/>
      <c r="HY61" s="89" t="s">
        <v>69</v>
      </c>
      <c r="HZ61" s="191" t="s">
        <v>130</v>
      </c>
      <c r="IB61" s="28"/>
      <c r="IC61" s="28"/>
      <c r="ID61" s="89"/>
      <c r="IE61" s="28"/>
      <c r="IF61" s="28"/>
      <c r="IG61" s="28"/>
      <c r="IH61" s="28"/>
      <c r="II61" s="28"/>
      <c r="IJ61" s="31"/>
    </row>
    <row r="62" spans="9:244" ht="38.25" customHeight="1">
      <c r="I62" s="213" t="s">
        <v>115</v>
      </c>
      <c r="J62" s="213"/>
      <c r="K62" s="213"/>
      <c r="L62" s="213"/>
      <c r="M62" s="213"/>
      <c r="N62" s="213"/>
      <c r="O62" s="213"/>
      <c r="P62" s="213"/>
      <c r="Q62" s="213"/>
      <c r="R62" s="213"/>
      <c r="DI62" s="86" t="s">
        <v>113</v>
      </c>
      <c r="DJ62" s="28"/>
      <c r="DK62" s="28"/>
      <c r="GG62" s="27"/>
      <c r="GH62" s="28"/>
      <c r="GI62" s="28"/>
      <c r="GJ62" s="28"/>
      <c r="GK62" s="28"/>
      <c r="GL62" s="28"/>
      <c r="GM62" s="28"/>
      <c r="GN62" s="28"/>
      <c r="GO62" s="28"/>
      <c r="GP62" s="28"/>
      <c r="GQ62" s="28"/>
      <c r="GS62" s="28"/>
      <c r="GT62" s="28"/>
      <c r="GU62" s="28"/>
      <c r="GV62" s="28"/>
      <c r="GW62" s="28"/>
      <c r="GZ62" s="28"/>
      <c r="HA62" s="28"/>
      <c r="HB62" s="28"/>
      <c r="HC62" s="28"/>
      <c r="HD62" s="28"/>
      <c r="HE62" s="28"/>
      <c r="HF62" s="28"/>
      <c r="HG62" s="28"/>
      <c r="HH62" s="28"/>
      <c r="HI62" s="28"/>
      <c r="HJ62" s="28"/>
      <c r="HK62" s="28"/>
      <c r="HL62" s="28"/>
      <c r="HM62" s="28"/>
      <c r="HN62" s="28"/>
      <c r="HO62" s="28"/>
      <c r="HP62" s="28"/>
      <c r="HQ62" s="28"/>
      <c r="HR62" s="28"/>
      <c r="HS62" s="28"/>
      <c r="HT62" s="28"/>
      <c r="HU62" s="28"/>
      <c r="HV62" s="28"/>
      <c r="HW62" s="28"/>
      <c r="HX62" s="28"/>
      <c r="HY62" s="89" t="s">
        <v>70</v>
      </c>
      <c r="HZ62" s="28" t="s">
        <v>129</v>
      </c>
      <c r="IB62" s="28"/>
      <c r="IC62" s="28"/>
      <c r="ID62" s="89"/>
      <c r="IE62" s="28"/>
      <c r="IF62" s="28"/>
      <c r="IG62" s="28"/>
      <c r="IH62" s="28"/>
      <c r="II62" s="28"/>
      <c r="IJ62" s="31"/>
    </row>
    <row r="63" spans="9:244" s="100" customFormat="1" ht="25.5" customHeight="1">
      <c r="I63" s="215" t="s">
        <v>33</v>
      </c>
      <c r="J63" s="215"/>
      <c r="K63" s="215"/>
      <c r="L63" s="215"/>
      <c r="M63" s="215"/>
      <c r="N63" s="215"/>
      <c r="O63" s="215"/>
      <c r="P63" s="215"/>
      <c r="Q63" s="215"/>
      <c r="R63" s="215"/>
      <c r="BS63" s="110"/>
      <c r="BT63" s="110"/>
      <c r="BU63" s="110"/>
      <c r="DI63" s="28"/>
      <c r="DJ63" s="28"/>
      <c r="DK63" s="28"/>
      <c r="GG63" s="106"/>
      <c r="GH63" s="107"/>
      <c r="GI63" s="107"/>
      <c r="GJ63" s="107"/>
      <c r="GK63" s="107"/>
      <c r="GL63" s="107"/>
      <c r="GM63" s="107"/>
      <c r="GN63" s="107"/>
      <c r="GO63" s="107"/>
      <c r="GP63" s="107"/>
      <c r="GQ63" s="107"/>
      <c r="GS63" s="107"/>
      <c r="GT63" s="107"/>
      <c r="GU63" s="107"/>
      <c r="GV63" s="107"/>
      <c r="GW63" s="107"/>
      <c r="GZ63" s="107"/>
      <c r="HA63" s="107"/>
      <c r="HB63" s="107"/>
      <c r="HC63" s="107"/>
      <c r="HD63" s="107"/>
      <c r="HE63" s="107"/>
      <c r="HF63" s="107"/>
      <c r="HG63" s="107"/>
      <c r="HH63" s="107"/>
      <c r="HI63" s="107"/>
      <c r="HJ63" s="107"/>
      <c r="HK63" s="107"/>
      <c r="HL63" s="107"/>
      <c r="HM63" s="107"/>
      <c r="HN63" s="107"/>
      <c r="HO63" s="107"/>
      <c r="HP63" s="107"/>
      <c r="HQ63" s="107"/>
      <c r="HR63" s="107"/>
      <c r="HS63" s="107"/>
      <c r="HT63" s="107"/>
      <c r="HU63" s="107"/>
      <c r="HV63" s="107"/>
      <c r="HW63" s="107"/>
      <c r="HX63" s="107"/>
      <c r="HY63" s="89" t="s">
        <v>71</v>
      </c>
      <c r="HZ63" s="28" t="s">
        <v>129</v>
      </c>
      <c r="IB63" s="107"/>
      <c r="IC63" s="107"/>
      <c r="ID63" s="108"/>
      <c r="IE63" s="107"/>
      <c r="IF63" s="107"/>
      <c r="IG63" s="110"/>
      <c r="IH63" s="110"/>
      <c r="II63" s="110"/>
      <c r="IJ63" s="109"/>
    </row>
    <row r="64" spans="9:244" s="100" customFormat="1" ht="6" customHeight="1">
      <c r="I64" s="214"/>
      <c r="J64" s="214"/>
      <c r="K64" s="214"/>
      <c r="L64" s="214"/>
      <c r="M64" s="214"/>
      <c r="N64" s="214"/>
      <c r="O64" s="214"/>
      <c r="P64" s="214"/>
      <c r="Q64" s="214"/>
      <c r="R64" s="214"/>
      <c r="W64" s="17"/>
      <c r="X64"/>
      <c r="Y64"/>
      <c r="Z64"/>
      <c r="AA64"/>
      <c r="AB64"/>
      <c r="AC64"/>
      <c r="AD64"/>
      <c r="AE64"/>
      <c r="BR64" s="110"/>
      <c r="DI64" s="28"/>
      <c r="DJ64" s="28"/>
      <c r="DK64" s="28"/>
      <c r="GG64" s="106"/>
      <c r="GH64" s="107"/>
      <c r="GI64" s="107"/>
      <c r="GJ64" s="107"/>
      <c r="GK64" s="107"/>
      <c r="GL64" s="107"/>
      <c r="GM64" s="107"/>
      <c r="GN64" s="107"/>
      <c r="GO64" s="107"/>
      <c r="GP64" s="107"/>
      <c r="GQ64" s="107"/>
      <c r="GS64" s="107"/>
      <c r="GT64" s="107"/>
      <c r="GU64" s="107"/>
      <c r="GV64" s="107"/>
      <c r="GW64" s="107"/>
      <c r="GZ64" s="107"/>
      <c r="HA64" s="107"/>
      <c r="HB64" s="107"/>
      <c r="HC64" s="107"/>
      <c r="HD64" s="107"/>
      <c r="HE64" s="107"/>
      <c r="HF64" s="107"/>
      <c r="HG64" s="107"/>
      <c r="HH64" s="107"/>
      <c r="HI64" s="107"/>
      <c r="HJ64" s="107"/>
      <c r="HK64" s="107"/>
      <c r="HL64" s="107"/>
      <c r="HM64" s="107"/>
      <c r="HN64" s="107"/>
      <c r="HO64" s="107"/>
      <c r="HP64" s="107"/>
      <c r="HQ64" s="107"/>
      <c r="HR64" s="107"/>
      <c r="HS64" s="107"/>
      <c r="HT64" s="107"/>
      <c r="HU64" s="107"/>
      <c r="HV64" s="107"/>
      <c r="HW64" s="107"/>
      <c r="HX64" s="107"/>
      <c r="HY64" s="26" t="s">
        <v>143</v>
      </c>
      <c r="HZ64" s="28" t="s">
        <v>129</v>
      </c>
      <c r="IB64" s="107"/>
      <c r="IC64" s="107"/>
      <c r="ID64" s="108"/>
      <c r="IE64" s="107"/>
      <c r="IF64" s="110"/>
      <c r="IG64" s="107"/>
      <c r="IH64" s="107"/>
      <c r="II64" s="107"/>
      <c r="IJ64" s="109"/>
    </row>
    <row r="65" spans="3:244" s="100" customFormat="1" ht="38.25" customHeight="1">
      <c r="C65" s="159" t="s">
        <v>106</v>
      </c>
      <c r="I65" s="229" t="s">
        <v>50</v>
      </c>
      <c r="J65" s="229"/>
      <c r="K65" s="229"/>
      <c r="L65" s="229"/>
      <c r="M65" s="229"/>
      <c r="N65" s="229"/>
      <c r="O65" s="229"/>
      <c r="P65" s="229"/>
      <c r="Q65" s="229"/>
      <c r="R65" s="229"/>
      <c r="W65" s="45"/>
      <c r="X65"/>
      <c r="Y65"/>
      <c r="Z65"/>
      <c r="AA65"/>
      <c r="AB65"/>
      <c r="AC65"/>
      <c r="AD65"/>
      <c r="AE65"/>
      <c r="DI65" s="89"/>
      <c r="DJ65" s="89"/>
      <c r="DK65" s="89"/>
      <c r="GG65" s="106"/>
      <c r="GH65" s="107"/>
      <c r="GI65" s="107"/>
      <c r="GJ65" s="107"/>
      <c r="GK65" s="107"/>
      <c r="GL65" s="107"/>
      <c r="GM65" s="107"/>
      <c r="GN65" s="107"/>
      <c r="GO65" s="107"/>
      <c r="GP65" s="107"/>
      <c r="GQ65" s="107"/>
      <c r="GS65" s="107"/>
      <c r="GT65" s="107"/>
      <c r="GU65" s="107"/>
      <c r="GV65" s="107"/>
      <c r="GW65" s="107"/>
      <c r="GZ65" s="107"/>
      <c r="HA65" s="107"/>
      <c r="HB65" s="107"/>
      <c r="HC65" s="107"/>
      <c r="HD65" s="107"/>
      <c r="HE65" s="107"/>
      <c r="HF65" s="107"/>
      <c r="HG65" s="107"/>
      <c r="HH65" s="107"/>
      <c r="HI65" s="107"/>
      <c r="HJ65" s="107"/>
      <c r="HK65" s="107"/>
      <c r="HL65" s="107"/>
      <c r="HM65" s="107"/>
      <c r="HN65" s="107"/>
      <c r="HO65" s="107"/>
      <c r="HP65" s="107"/>
      <c r="HQ65" s="107"/>
      <c r="HR65" s="107"/>
      <c r="HS65" s="107"/>
      <c r="HT65" s="107"/>
      <c r="HU65" s="107"/>
      <c r="HV65" s="107"/>
      <c r="HW65" s="107"/>
      <c r="HX65" s="107"/>
      <c r="HY65" s="89" t="s">
        <v>144</v>
      </c>
      <c r="HZ65" s="28" t="s">
        <v>129</v>
      </c>
      <c r="IB65" s="107"/>
      <c r="IC65" s="107"/>
      <c r="ID65" s="108"/>
      <c r="IE65" s="107"/>
      <c r="IF65" s="107"/>
      <c r="IG65" s="107"/>
      <c r="IH65" s="107"/>
      <c r="II65" s="107"/>
      <c r="IJ65" s="109"/>
    </row>
    <row r="66" spans="9:244" s="101" customFormat="1" ht="6" customHeight="1"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W66"/>
      <c r="X66"/>
      <c r="Y66"/>
      <c r="Z66"/>
      <c r="AA66"/>
      <c r="AB66"/>
      <c r="AC66"/>
      <c r="AD66"/>
      <c r="AE66"/>
      <c r="DI66" s="20">
        <v>100</v>
      </c>
      <c r="DJ66" s="20">
        <v>200</v>
      </c>
      <c r="DK66" s="20">
        <v>500</v>
      </c>
      <c r="GG66" s="102"/>
      <c r="GH66" s="103"/>
      <c r="GI66" s="103"/>
      <c r="GJ66" s="103"/>
      <c r="GK66" s="103"/>
      <c r="GL66" s="103"/>
      <c r="GM66" s="103"/>
      <c r="GN66" s="103"/>
      <c r="GO66" s="103"/>
      <c r="GP66" s="103"/>
      <c r="GQ66" s="103"/>
      <c r="GS66" s="103"/>
      <c r="GT66" s="103"/>
      <c r="GU66" s="103"/>
      <c r="GV66" s="103"/>
      <c r="GW66" s="103"/>
      <c r="GZ66" s="103"/>
      <c r="HA66" s="103"/>
      <c r="HB66" s="103"/>
      <c r="HC66" s="103"/>
      <c r="HD66" s="103"/>
      <c r="HE66" s="103"/>
      <c r="HF66" s="103"/>
      <c r="HG66" s="103"/>
      <c r="HH66" s="103"/>
      <c r="HI66" s="103"/>
      <c r="HJ66" s="103"/>
      <c r="HK66" s="103"/>
      <c r="HL66" s="103"/>
      <c r="HM66" s="103"/>
      <c r="HN66" s="103"/>
      <c r="HO66" s="103"/>
      <c r="HP66" s="103"/>
      <c r="HQ66" s="103"/>
      <c r="HR66" s="103"/>
      <c r="HS66" s="103"/>
      <c r="HT66" s="103"/>
      <c r="HU66" s="103"/>
      <c r="HV66" s="103"/>
      <c r="HW66" s="103"/>
      <c r="HX66" s="103"/>
      <c r="HY66" s="108" t="s">
        <v>145</v>
      </c>
      <c r="HZ66" s="28" t="s">
        <v>129</v>
      </c>
      <c r="IB66" s="103"/>
      <c r="IC66" s="103"/>
      <c r="ID66" s="111"/>
      <c r="IE66" s="103"/>
      <c r="IF66" s="103"/>
      <c r="IG66" s="103"/>
      <c r="IH66" s="103"/>
      <c r="II66" s="103"/>
      <c r="IJ66" s="105"/>
    </row>
    <row r="67" spans="3:244" ht="39" customHeight="1">
      <c r="C67" s="115">
        <f>SUM((C28+D28+E28+F28)/($C$28+$D$28+$E$28+$F$28))</f>
        <v>1</v>
      </c>
      <c r="D67" s="115"/>
      <c r="E67" s="115"/>
      <c r="F67" s="115"/>
      <c r="G67" s="115">
        <f>IF(G28=0,0,G28/$G$28)</f>
        <v>0</v>
      </c>
      <c r="H67" s="115">
        <f>IF(H28=0,0,H28/$H$28)</f>
        <v>0</v>
      </c>
      <c r="I67" s="214" t="s">
        <v>114</v>
      </c>
      <c r="J67" s="214"/>
      <c r="K67" s="214"/>
      <c r="L67" s="214"/>
      <c r="M67" s="214"/>
      <c r="N67" s="214"/>
      <c r="O67" s="214"/>
      <c r="P67" s="214"/>
      <c r="Q67" s="214"/>
      <c r="R67" s="214"/>
      <c r="W67" s="115"/>
      <c r="DI67" s="7">
        <v>0</v>
      </c>
      <c r="DJ67" s="7">
        <v>0</v>
      </c>
      <c r="DK67" s="7">
        <v>0</v>
      </c>
      <c r="GG67" s="27"/>
      <c r="GH67" s="28"/>
      <c r="GI67" s="28"/>
      <c r="GJ67" s="28"/>
      <c r="GK67" s="28"/>
      <c r="GL67" s="28"/>
      <c r="GM67" s="28"/>
      <c r="GN67" s="28"/>
      <c r="GO67" s="28"/>
      <c r="GP67" s="28"/>
      <c r="GQ67" s="28"/>
      <c r="GS67" s="28"/>
      <c r="GT67" s="28"/>
      <c r="GU67" s="28"/>
      <c r="GV67" s="28"/>
      <c r="GW67" s="28"/>
      <c r="GZ67" s="28"/>
      <c r="HA67" s="28"/>
      <c r="HB67" s="28"/>
      <c r="HC67" s="28"/>
      <c r="HD67" s="28"/>
      <c r="HE67" s="28"/>
      <c r="HF67" s="28"/>
      <c r="HG67" s="28"/>
      <c r="HH67" s="28"/>
      <c r="HI67" s="28"/>
      <c r="HJ67" s="28"/>
      <c r="HK67" s="28"/>
      <c r="HL67" s="28"/>
      <c r="HM67" s="28"/>
      <c r="HN67" s="28"/>
      <c r="HO67" s="28"/>
      <c r="HP67" s="28"/>
      <c r="HQ67" s="28"/>
      <c r="HR67" s="28"/>
      <c r="HS67" s="28"/>
      <c r="HT67" s="28"/>
      <c r="HU67" s="28"/>
      <c r="HV67" s="28"/>
      <c r="HW67" s="28"/>
      <c r="HX67" s="28"/>
      <c r="HY67" s="108" t="s">
        <v>146</v>
      </c>
      <c r="HZ67" s="28" t="s">
        <v>129</v>
      </c>
      <c r="IB67" s="28"/>
      <c r="IC67" s="28"/>
      <c r="ID67" s="89"/>
      <c r="IE67" s="28"/>
      <c r="IF67" s="28"/>
      <c r="IG67" s="28"/>
      <c r="IH67" s="28"/>
      <c r="II67" s="28"/>
      <c r="IJ67" s="31"/>
    </row>
    <row r="68" spans="3:244" ht="6" customHeight="1">
      <c r="C68" s="115">
        <f>SUM((C29+D29+E29+F29)/($C$28+$D$28+$E$28+$F$28))</f>
        <v>1.8000839395635144</v>
      </c>
      <c r="D68" s="115"/>
      <c r="E68" s="115"/>
      <c r="F68" s="115"/>
      <c r="G68" s="115">
        <f>IF(G29=0,0,(G29/$G$28))</f>
        <v>0</v>
      </c>
      <c r="H68" s="115">
        <f>IF(H29=0,0,(H29/$H$28))</f>
        <v>0</v>
      </c>
      <c r="I68" s="214"/>
      <c r="J68" s="214"/>
      <c r="K68" s="214"/>
      <c r="L68" s="214"/>
      <c r="M68" s="214"/>
      <c r="N68" s="214"/>
      <c r="O68" s="214"/>
      <c r="P68" s="214"/>
      <c r="Q68" s="214"/>
      <c r="R68" s="214"/>
      <c r="W68" s="115"/>
      <c r="DI68" s="7">
        <v>0</v>
      </c>
      <c r="DJ68" s="7">
        <v>0</v>
      </c>
      <c r="DK68" s="7">
        <v>0</v>
      </c>
      <c r="GG68" s="27"/>
      <c r="GH68" s="28"/>
      <c r="GI68" s="28"/>
      <c r="GJ68" s="28"/>
      <c r="GK68" s="28"/>
      <c r="GL68" s="28"/>
      <c r="GM68" s="28"/>
      <c r="GN68" s="28"/>
      <c r="GO68" s="28"/>
      <c r="GP68" s="28"/>
      <c r="GQ68" s="28"/>
      <c r="GS68" s="28"/>
      <c r="GT68" s="28"/>
      <c r="GU68" s="28"/>
      <c r="GV68" s="28"/>
      <c r="GW68" s="28"/>
      <c r="GZ68" s="28"/>
      <c r="HA68" s="28"/>
      <c r="HB68" s="28"/>
      <c r="HC68" s="28"/>
      <c r="HD68" s="28"/>
      <c r="HE68" s="28"/>
      <c r="HF68" s="28"/>
      <c r="HG68" s="28"/>
      <c r="HH68" s="28"/>
      <c r="HI68" s="28"/>
      <c r="HJ68" s="28"/>
      <c r="HK68" s="28"/>
      <c r="HL68" s="28"/>
      <c r="HM68" s="28"/>
      <c r="HN68" s="28"/>
      <c r="HO68" s="28"/>
      <c r="HP68" s="28"/>
      <c r="HQ68" s="28"/>
      <c r="HR68" s="28"/>
      <c r="HS68" s="28"/>
      <c r="HT68" s="28"/>
      <c r="HU68" s="28"/>
      <c r="HV68" s="28"/>
      <c r="HW68" s="28"/>
      <c r="HX68" s="28"/>
      <c r="HY68" s="108" t="s">
        <v>72</v>
      </c>
      <c r="HZ68" s="28" t="s">
        <v>129</v>
      </c>
      <c r="IB68" s="28"/>
      <c r="IC68" s="28"/>
      <c r="ID68" s="89"/>
      <c r="IE68" s="28"/>
      <c r="IF68" s="28"/>
      <c r="IG68" s="28"/>
      <c r="IH68" s="28"/>
      <c r="II68" s="28"/>
      <c r="IJ68" s="31"/>
    </row>
    <row r="69" spans="3:244" ht="12.75" customHeight="1">
      <c r="C69" s="115">
        <f>SUM((C30+D30+E30+F30)/($C$28+$D$28+$E$28+$F$28))</f>
        <v>2.519445998880806</v>
      </c>
      <c r="D69" s="115"/>
      <c r="E69" s="115"/>
      <c r="F69" s="115"/>
      <c r="G69" s="115">
        <f>IF(G30=0,0,(G30/$G$28))</f>
        <v>0</v>
      </c>
      <c r="H69" s="115">
        <f>IF(H30=0,0,(H30/$H$28))</f>
        <v>0</v>
      </c>
      <c r="I69" s="230" t="s">
        <v>85</v>
      </c>
      <c r="J69" s="230"/>
      <c r="K69" s="230"/>
      <c r="L69" s="230"/>
      <c r="M69" s="230"/>
      <c r="N69" s="230"/>
      <c r="O69" s="230"/>
      <c r="P69" s="230"/>
      <c r="Q69" s="230"/>
      <c r="R69" s="230"/>
      <c r="W69" s="115"/>
      <c r="DI69" s="7">
        <v>0</v>
      </c>
      <c r="DJ69" s="7">
        <v>0</v>
      </c>
      <c r="DK69" s="7">
        <v>0</v>
      </c>
      <c r="GG69" s="27"/>
      <c r="GH69" s="28"/>
      <c r="GI69" s="28"/>
      <c r="GJ69" s="28"/>
      <c r="GK69" s="28"/>
      <c r="GL69" s="28"/>
      <c r="GM69" s="28"/>
      <c r="GN69" s="28"/>
      <c r="GO69" s="28"/>
      <c r="GP69" s="28"/>
      <c r="GQ69" s="28"/>
      <c r="GS69" s="28"/>
      <c r="GT69" s="28"/>
      <c r="GU69" s="28"/>
      <c r="GV69" s="28"/>
      <c r="GW69" s="28"/>
      <c r="GZ69" s="28"/>
      <c r="HA69" s="28"/>
      <c r="HB69" s="28"/>
      <c r="HC69" s="28"/>
      <c r="HD69" s="28"/>
      <c r="HE69" s="28"/>
      <c r="HF69" s="28"/>
      <c r="HG69" s="28"/>
      <c r="HH69" s="28"/>
      <c r="HI69" s="28"/>
      <c r="HJ69" s="28"/>
      <c r="HK69" s="28"/>
      <c r="HL69" s="28"/>
      <c r="HM69" s="28"/>
      <c r="HN69" s="28"/>
      <c r="HO69" s="28"/>
      <c r="HP69" s="28"/>
      <c r="HQ69" s="28"/>
      <c r="HR69" s="28"/>
      <c r="HS69" s="28"/>
      <c r="HT69" s="28"/>
      <c r="HU69" s="28"/>
      <c r="HV69" s="28"/>
      <c r="HW69" s="28"/>
      <c r="HX69" s="28"/>
      <c r="HY69" s="111" t="s">
        <v>149</v>
      </c>
      <c r="HZ69" s="28" t="s">
        <v>129</v>
      </c>
      <c r="IB69" s="28"/>
      <c r="IC69" s="28"/>
      <c r="ID69" s="89"/>
      <c r="IE69" s="28"/>
      <c r="IF69" s="28"/>
      <c r="IG69" s="28"/>
      <c r="IH69" s="28"/>
      <c r="II69" s="28"/>
      <c r="IJ69" s="31"/>
    </row>
    <row r="70" spans="3:244" ht="6" customHeight="1">
      <c r="C70" s="115">
        <f>SUM((C31+D31+E31+F31)/($C$28+$D$28+$E$28+$F$28))</f>
        <v>3.318970341354225</v>
      </c>
      <c r="D70" s="115"/>
      <c r="E70" s="115"/>
      <c r="F70" s="115"/>
      <c r="G70" s="115">
        <f>IF(G31=0,0,(G31/$G$28))</f>
        <v>0</v>
      </c>
      <c r="H70" s="115">
        <f>IF(H31=0,0,(H31/$H$28))</f>
        <v>0</v>
      </c>
      <c r="I70" s="230"/>
      <c r="J70" s="230"/>
      <c r="K70" s="230"/>
      <c r="L70" s="230"/>
      <c r="M70" s="230"/>
      <c r="N70" s="230"/>
      <c r="O70" s="230"/>
      <c r="P70" s="230"/>
      <c r="Q70" s="230"/>
      <c r="R70" s="230"/>
      <c r="W70" s="115"/>
      <c r="DI70" s="7">
        <v>0</v>
      </c>
      <c r="DJ70" s="7">
        <v>0</v>
      </c>
      <c r="DK70" s="7">
        <v>0</v>
      </c>
      <c r="GG70" s="27"/>
      <c r="GH70" s="28"/>
      <c r="GI70" s="28"/>
      <c r="GJ70" s="28"/>
      <c r="GK70" s="28"/>
      <c r="GL70" s="28"/>
      <c r="GM70" s="28"/>
      <c r="GN70" s="28"/>
      <c r="GO70" s="28"/>
      <c r="GP70" s="28"/>
      <c r="GQ70" s="28"/>
      <c r="GS70" s="28"/>
      <c r="GT70" s="28"/>
      <c r="GU70" s="28"/>
      <c r="GV70" s="28"/>
      <c r="GW70" s="28"/>
      <c r="GZ70" s="28"/>
      <c r="HA70" s="28"/>
      <c r="HB70" s="28"/>
      <c r="HC70" s="28"/>
      <c r="HD70" s="28"/>
      <c r="HE70" s="28"/>
      <c r="HF70" s="28"/>
      <c r="HG70" s="28"/>
      <c r="HH70" s="28"/>
      <c r="HI70" s="28"/>
      <c r="HJ70" s="28"/>
      <c r="HK70" s="28"/>
      <c r="HL70" s="28"/>
      <c r="HM70" s="28"/>
      <c r="HN70" s="28"/>
      <c r="HO70" s="28"/>
      <c r="HP70" s="28"/>
      <c r="HQ70" s="28"/>
      <c r="HR70" s="28"/>
      <c r="HS70" s="28"/>
      <c r="HT70" s="28"/>
      <c r="HU70" s="28"/>
      <c r="HV70" s="28"/>
      <c r="HW70" s="28"/>
      <c r="HX70" s="28"/>
      <c r="HY70" s="89" t="s">
        <v>73</v>
      </c>
      <c r="HZ70" s="28" t="s">
        <v>129</v>
      </c>
      <c r="IB70" s="28"/>
      <c r="IC70" s="28"/>
      <c r="ID70" s="89"/>
      <c r="IE70" s="28"/>
      <c r="IF70" s="28"/>
      <c r="IG70" s="28"/>
      <c r="IH70" s="28"/>
      <c r="II70" s="28"/>
      <c r="IJ70" s="31"/>
    </row>
    <row r="71" spans="3:244" ht="12.75" customHeight="1">
      <c r="C71" s="115"/>
      <c r="D71" s="115"/>
      <c r="E71" s="115"/>
      <c r="F71" s="115"/>
      <c r="G71" s="115"/>
      <c r="H71" s="115"/>
      <c r="I71" s="223" t="s">
        <v>88</v>
      </c>
      <c r="J71" s="224"/>
      <c r="K71" s="224"/>
      <c r="L71" s="224"/>
      <c r="M71" s="224"/>
      <c r="N71" s="224"/>
      <c r="O71" s="224"/>
      <c r="P71" s="224"/>
      <c r="Q71" s="224"/>
      <c r="R71" s="225"/>
      <c r="W71" s="115"/>
      <c r="DI71" s="89"/>
      <c r="DJ71" s="89"/>
      <c r="DK71" s="89"/>
      <c r="GG71" s="27"/>
      <c r="GH71" s="28"/>
      <c r="GI71" s="28"/>
      <c r="GJ71" s="28"/>
      <c r="GK71" s="28"/>
      <c r="GL71" s="28"/>
      <c r="GM71" s="28"/>
      <c r="GN71" s="28"/>
      <c r="GO71" s="28"/>
      <c r="GP71" s="28"/>
      <c r="GQ71" s="28"/>
      <c r="GS71" s="28"/>
      <c r="GT71" s="28"/>
      <c r="GU71" s="28"/>
      <c r="GV71" s="28"/>
      <c r="GW71" s="28"/>
      <c r="GZ71" s="28"/>
      <c r="HA71" s="28"/>
      <c r="HB71" s="28"/>
      <c r="HC71" s="28"/>
      <c r="HD71" s="28"/>
      <c r="HE71" s="28"/>
      <c r="HF71" s="28"/>
      <c r="HG71" s="28"/>
      <c r="HH71" s="28"/>
      <c r="HI71" s="28"/>
      <c r="HJ71" s="28"/>
      <c r="HK71" s="28"/>
      <c r="HL71" s="28"/>
      <c r="HM71" s="28"/>
      <c r="HN71" s="28"/>
      <c r="HO71" s="28"/>
      <c r="HP71" s="28"/>
      <c r="HQ71" s="28"/>
      <c r="HR71" s="28"/>
      <c r="HS71" s="28"/>
      <c r="HT71" s="28"/>
      <c r="HU71" s="28"/>
      <c r="HV71" s="28"/>
      <c r="HW71" s="28"/>
      <c r="HX71" s="28"/>
      <c r="HY71" s="89" t="s">
        <v>74</v>
      </c>
      <c r="HZ71" s="28" t="s">
        <v>129</v>
      </c>
      <c r="IB71" s="28"/>
      <c r="IC71" s="28"/>
      <c r="ID71" s="89"/>
      <c r="IE71" s="28"/>
      <c r="IF71" s="28"/>
      <c r="IG71" s="28"/>
      <c r="IH71" s="28"/>
      <c r="II71" s="28"/>
      <c r="IJ71" s="31"/>
    </row>
    <row r="72" spans="3:244" ht="25.5" customHeight="1">
      <c r="C72" s="115">
        <f>SUM((C34+D34+E34+F34)/($C$34+$D$34+$E$34+$F$34))</f>
        <v>1</v>
      </c>
      <c r="D72" s="115"/>
      <c r="E72" s="115"/>
      <c r="F72" s="115"/>
      <c r="G72" s="115">
        <f>IF(G34=0,0,G34/$G$34)</f>
        <v>0</v>
      </c>
      <c r="H72" s="115">
        <f>IF(H34=0,0,H34/$H$34)</f>
        <v>0</v>
      </c>
      <c r="I72" s="226" t="s">
        <v>87</v>
      </c>
      <c r="J72" s="227"/>
      <c r="K72" s="227"/>
      <c r="L72" s="227"/>
      <c r="M72" s="227"/>
      <c r="N72" s="227"/>
      <c r="O72" s="227"/>
      <c r="P72" s="227"/>
      <c r="Q72" s="227"/>
      <c r="R72" s="228"/>
      <c r="W72" s="115"/>
      <c r="DI72" s="89"/>
      <c r="DJ72" s="89"/>
      <c r="DK72" s="89"/>
      <c r="GG72" s="27"/>
      <c r="GH72" s="28"/>
      <c r="GI72" s="28"/>
      <c r="GJ72" s="28"/>
      <c r="GK72" s="28"/>
      <c r="GL72" s="28"/>
      <c r="GM72" s="28"/>
      <c r="GN72" s="28"/>
      <c r="GO72" s="28"/>
      <c r="GP72" s="28"/>
      <c r="GQ72" s="28"/>
      <c r="GS72" s="28"/>
      <c r="GT72" s="28"/>
      <c r="GU72" s="28"/>
      <c r="GV72" s="28"/>
      <c r="GW72" s="28"/>
      <c r="GZ72" s="28"/>
      <c r="HA72" s="28"/>
      <c r="HB72" s="28"/>
      <c r="HC72" s="28"/>
      <c r="HD72" s="28"/>
      <c r="HE72" s="28"/>
      <c r="HF72" s="28"/>
      <c r="HG72" s="28"/>
      <c r="HH72" s="28"/>
      <c r="HI72" s="28"/>
      <c r="HJ72" s="28"/>
      <c r="HK72" s="28"/>
      <c r="HL72" s="28"/>
      <c r="HM72" s="28"/>
      <c r="HN72" s="28"/>
      <c r="HO72" s="28"/>
      <c r="HP72" s="28"/>
      <c r="HQ72" s="28"/>
      <c r="HR72" s="28"/>
      <c r="HS72" s="28"/>
      <c r="HT72" s="28"/>
      <c r="HU72" s="28"/>
      <c r="HV72" s="28"/>
      <c r="HW72" s="28"/>
      <c r="HX72" s="28"/>
      <c r="HY72" s="89" t="s">
        <v>75</v>
      </c>
      <c r="HZ72" s="193" t="s">
        <v>130</v>
      </c>
      <c r="IA72" s="101"/>
      <c r="IB72" s="28"/>
      <c r="IC72" s="28"/>
      <c r="ID72" s="89"/>
      <c r="IE72" s="28"/>
      <c r="IF72" s="28"/>
      <c r="IG72" s="28"/>
      <c r="IH72" s="28"/>
      <c r="II72" s="28"/>
      <c r="IJ72" s="31"/>
    </row>
    <row r="73" spans="3:244" ht="25.5" customHeight="1" hidden="1">
      <c r="C73" s="115">
        <f>SUM((C34+D34+E34+F34)/($C$28+$D$28+$E$28+$F$28))</f>
        <v>1.2656687185226636</v>
      </c>
      <c r="D73" s="115"/>
      <c r="E73" s="115"/>
      <c r="F73" s="115"/>
      <c r="G73" s="115">
        <f>IF(G34=0,0,(G34/$G$28))</f>
        <v>0</v>
      </c>
      <c r="H73" s="115">
        <f>IF(H34=0,0,(H34/$G$28))</f>
        <v>0</v>
      </c>
      <c r="I73" s="214" t="s">
        <v>86</v>
      </c>
      <c r="J73" s="214"/>
      <c r="K73" s="214"/>
      <c r="L73" s="214"/>
      <c r="M73" s="214"/>
      <c r="N73" s="214"/>
      <c r="O73" s="214"/>
      <c r="P73" s="214"/>
      <c r="Q73" s="214"/>
      <c r="R73" s="214"/>
      <c r="W73" s="115"/>
      <c r="DI73" s="89"/>
      <c r="DJ73" s="89"/>
      <c r="DK73" s="89"/>
      <c r="GG73" s="27"/>
      <c r="GH73" s="28"/>
      <c r="GI73" s="28"/>
      <c r="GJ73" s="28"/>
      <c r="GK73" s="28"/>
      <c r="GL73" s="28"/>
      <c r="GM73" s="28"/>
      <c r="GN73" s="28"/>
      <c r="GO73" s="28"/>
      <c r="GP73" s="28"/>
      <c r="GQ73" s="28"/>
      <c r="GS73" s="28"/>
      <c r="GT73" s="28"/>
      <c r="GU73" s="28"/>
      <c r="GV73" s="28"/>
      <c r="GW73" s="28"/>
      <c r="GZ73" s="28"/>
      <c r="HA73" s="28"/>
      <c r="HB73" s="28"/>
      <c r="HC73" s="28"/>
      <c r="HD73" s="28"/>
      <c r="HE73" s="28"/>
      <c r="HF73" s="28"/>
      <c r="HG73" s="28"/>
      <c r="HH73" s="28"/>
      <c r="HI73" s="28"/>
      <c r="HJ73" s="28"/>
      <c r="HK73" s="28"/>
      <c r="HL73" s="28"/>
      <c r="HM73" s="28"/>
      <c r="HN73" s="28"/>
      <c r="HO73" s="28"/>
      <c r="HP73" s="28"/>
      <c r="HQ73" s="28"/>
      <c r="HR73" s="28"/>
      <c r="HS73" s="28"/>
      <c r="HT73" s="28"/>
      <c r="HU73" s="28"/>
      <c r="HV73" s="28"/>
      <c r="HW73" s="28"/>
      <c r="HX73" s="28"/>
      <c r="HY73" s="89" t="s">
        <v>76</v>
      </c>
      <c r="HZ73" s="194" t="s">
        <v>130</v>
      </c>
      <c r="IB73" s="28"/>
      <c r="IC73" s="28"/>
      <c r="ID73" s="89"/>
      <c r="IE73" s="28"/>
      <c r="IF73" s="28"/>
      <c r="IG73" s="28"/>
      <c r="IH73" s="28"/>
      <c r="II73" s="28"/>
      <c r="IJ73" s="31"/>
    </row>
    <row r="74" spans="3:244" s="101" customFormat="1" ht="6" customHeight="1">
      <c r="C74" s="115">
        <f>SUM((C35+D35+E35+F35)/($C$34+$D$34+$E$34+$F$34))</f>
        <v>1.8000442135514534</v>
      </c>
      <c r="D74" s="158"/>
      <c r="E74" s="158"/>
      <c r="F74" s="158"/>
      <c r="G74" s="115">
        <f>IF(G35=0,0,(G35/$G$34))</f>
        <v>0</v>
      </c>
      <c r="H74" s="115">
        <f>IF(H35=0,0,(H35/$H$34))</f>
        <v>0</v>
      </c>
      <c r="I74" s="222"/>
      <c r="J74" s="222"/>
      <c r="K74" s="222"/>
      <c r="L74" s="222"/>
      <c r="M74" s="222"/>
      <c r="N74" s="222"/>
      <c r="O74" s="222"/>
      <c r="P74" s="222"/>
      <c r="Q74" s="222"/>
      <c r="R74" s="222"/>
      <c r="W74" s="115"/>
      <c r="X74"/>
      <c r="Y74"/>
      <c r="Z74"/>
      <c r="AA74"/>
      <c r="AB74"/>
      <c r="AC74"/>
      <c r="AD74"/>
      <c r="AE74"/>
      <c r="DI74" s="89"/>
      <c r="DJ74" s="89"/>
      <c r="DK74" s="89"/>
      <c r="GG74" s="102"/>
      <c r="GH74" s="103"/>
      <c r="GI74" s="103"/>
      <c r="GJ74" s="103"/>
      <c r="GK74" s="103"/>
      <c r="GL74" s="103"/>
      <c r="GM74" s="103"/>
      <c r="GN74" s="103"/>
      <c r="GO74" s="103"/>
      <c r="GP74" s="103"/>
      <c r="GQ74" s="103"/>
      <c r="GS74" s="103"/>
      <c r="GT74" s="103"/>
      <c r="GU74" s="103"/>
      <c r="GV74" s="103"/>
      <c r="GW74" s="103"/>
      <c r="GZ74" s="103"/>
      <c r="HA74" s="103"/>
      <c r="HB74" s="103"/>
      <c r="HC74" s="103"/>
      <c r="HD74" s="103"/>
      <c r="HE74" s="103"/>
      <c r="HF74" s="103"/>
      <c r="HG74" s="103"/>
      <c r="HH74" s="103"/>
      <c r="HI74" s="103"/>
      <c r="HJ74" s="103"/>
      <c r="HK74" s="103"/>
      <c r="HL74" s="103"/>
      <c r="HM74" s="103"/>
      <c r="HN74" s="103"/>
      <c r="HO74" s="103"/>
      <c r="HP74" s="103"/>
      <c r="HQ74" s="103"/>
      <c r="HR74" s="103"/>
      <c r="HS74" s="103"/>
      <c r="HT74" s="103"/>
      <c r="HU74" s="103"/>
      <c r="HV74" s="103"/>
      <c r="HW74" s="103"/>
      <c r="HX74" s="103"/>
      <c r="HY74" s="89" t="s">
        <v>147</v>
      </c>
      <c r="HZ74" s="28" t="s">
        <v>129</v>
      </c>
      <c r="IA74"/>
      <c r="IB74" s="103"/>
      <c r="IC74" s="103"/>
      <c r="ID74" s="103"/>
      <c r="IE74" s="103"/>
      <c r="IF74" s="103"/>
      <c r="IG74" s="103"/>
      <c r="IH74" s="103"/>
      <c r="II74" s="103"/>
      <c r="IJ74" s="105"/>
    </row>
    <row r="75" spans="3:244" ht="12.75" customHeight="1">
      <c r="C75" s="115">
        <f>SUM((C36+D36+E36+F36)/($C$34+$D$34+$E$34+$F$34))</f>
        <v>2.0585829556759148</v>
      </c>
      <c r="D75" s="115"/>
      <c r="E75" s="115"/>
      <c r="F75" s="115"/>
      <c r="G75" s="115">
        <f>IF(G36=0,0,(G36/$G$34))</f>
        <v>0</v>
      </c>
      <c r="H75" s="115">
        <f>IF(H36=0,0,(H36/$H$34))</f>
        <v>0</v>
      </c>
      <c r="I75" s="154" t="s">
        <v>105</v>
      </c>
      <c r="J75" s="236"/>
      <c r="K75" s="236"/>
      <c r="L75" s="236"/>
      <c r="M75" s="236"/>
      <c r="N75" s="236"/>
      <c r="O75" s="236"/>
      <c r="W75" s="115"/>
      <c r="DI75" s="89"/>
      <c r="DJ75" s="89"/>
      <c r="DK75" s="89"/>
      <c r="GG75" s="27"/>
      <c r="GH75" s="28"/>
      <c r="GI75" s="28"/>
      <c r="GJ75" s="28"/>
      <c r="GK75" s="28"/>
      <c r="GL75" s="28"/>
      <c r="GM75" s="28"/>
      <c r="GN75" s="28"/>
      <c r="GO75" s="28"/>
      <c r="GP75" s="28"/>
      <c r="GQ75" s="28"/>
      <c r="GS75" s="28"/>
      <c r="GT75" s="28"/>
      <c r="GU75" s="28"/>
      <c r="GV75" s="28"/>
      <c r="GW75" s="28"/>
      <c r="GZ75" s="28"/>
      <c r="HA75" s="28"/>
      <c r="HB75" s="28"/>
      <c r="HC75" s="28"/>
      <c r="HD75" s="28"/>
      <c r="HE75" s="28"/>
      <c r="HF75" s="28"/>
      <c r="HG75" s="28"/>
      <c r="HH75" s="28"/>
      <c r="HI75" s="28"/>
      <c r="HJ75" s="28"/>
      <c r="HK75" s="28"/>
      <c r="HL75" s="28"/>
      <c r="HM75" s="28"/>
      <c r="HN75" s="28"/>
      <c r="HO75" s="28"/>
      <c r="HP75" s="28"/>
      <c r="HQ75" s="28"/>
      <c r="HR75" s="28"/>
      <c r="HS75" s="28"/>
      <c r="HT75" s="28"/>
      <c r="HU75" s="28"/>
      <c r="HV75" s="28"/>
      <c r="HW75" s="28"/>
      <c r="HX75" s="28"/>
      <c r="HY75" s="104" t="s">
        <v>51</v>
      </c>
      <c r="HZ75" s="28" t="s">
        <v>129</v>
      </c>
      <c r="IB75" s="28"/>
      <c r="IC75" s="28"/>
      <c r="ID75" s="28"/>
      <c r="IE75" s="28"/>
      <c r="IF75" s="28"/>
      <c r="IG75" s="28"/>
      <c r="IH75" s="28"/>
      <c r="II75" s="28"/>
      <c r="IJ75" s="31"/>
    </row>
    <row r="76" spans="3:244" ht="9.75" customHeight="1">
      <c r="C76" s="115">
        <f>SUM((C37+D37+E37+F37)/($C$34+$D$34+$E$34+$F$34))</f>
        <v>2.8578534320769315</v>
      </c>
      <c r="D76" s="115"/>
      <c r="E76" s="115"/>
      <c r="F76" s="115"/>
      <c r="G76" s="115">
        <f>IF(G37=0,0,(G37/$G$34))</f>
        <v>0</v>
      </c>
      <c r="H76" s="115">
        <f>IF(H37=0,0,(H37/$H$34))</f>
        <v>0</v>
      </c>
      <c r="W76" s="115"/>
      <c r="DI76" s="20">
        <v>100</v>
      </c>
      <c r="DJ76" s="20">
        <v>200</v>
      </c>
      <c r="DK76" s="20">
        <v>500</v>
      </c>
      <c r="GG76" s="27"/>
      <c r="GH76" s="28"/>
      <c r="GI76" s="28"/>
      <c r="GJ76" s="28"/>
      <c r="GK76" s="28"/>
      <c r="GL76" s="28"/>
      <c r="GM76" s="28"/>
      <c r="GN76" s="28"/>
      <c r="GO76" s="28"/>
      <c r="GP76" s="28"/>
      <c r="GQ76" s="28"/>
      <c r="GS76" s="28"/>
      <c r="GT76" s="28"/>
      <c r="GU76" s="28"/>
      <c r="GV76" s="28"/>
      <c r="GW76" s="28"/>
      <c r="GZ76" s="28"/>
      <c r="HA76" s="28"/>
      <c r="HB76" s="28"/>
      <c r="HC76" s="28"/>
      <c r="HD76" s="28"/>
      <c r="HE76" s="28"/>
      <c r="HF76" s="28"/>
      <c r="HG76" s="28"/>
      <c r="HH76" s="28"/>
      <c r="HI76" s="28"/>
      <c r="HJ76" s="28"/>
      <c r="HK76" s="28"/>
      <c r="HL76" s="28"/>
      <c r="HM76" s="28"/>
      <c r="HN76" s="28"/>
      <c r="HO76" s="28"/>
      <c r="HP76" s="28"/>
      <c r="HQ76" s="28"/>
      <c r="HR76" s="28"/>
      <c r="HS76" s="28"/>
      <c r="HT76" s="28"/>
      <c r="HU76" s="28"/>
      <c r="HV76" s="28"/>
      <c r="HW76" s="28"/>
      <c r="HX76" s="28"/>
      <c r="HY76" s="89" t="s">
        <v>148</v>
      </c>
      <c r="HZ76" s="28" t="s">
        <v>129</v>
      </c>
      <c r="IB76" s="28"/>
      <c r="IC76" s="28"/>
      <c r="ID76" s="28"/>
      <c r="IE76" s="28"/>
      <c r="IF76" s="28"/>
      <c r="IG76" s="28"/>
      <c r="IH76" s="28"/>
      <c r="II76" s="28"/>
      <c r="IJ76" s="31"/>
    </row>
    <row r="77" spans="3:244" ht="12.75" customHeight="1">
      <c r="C77" s="115"/>
      <c r="D77" s="115"/>
      <c r="E77" s="115"/>
      <c r="F77" s="115"/>
      <c r="G77" s="115"/>
      <c r="H77" s="115"/>
      <c r="I77" s="238" t="s">
        <v>116</v>
      </c>
      <c r="J77" s="239"/>
      <c r="K77" s="172"/>
      <c r="L77" s="239" t="s">
        <v>121</v>
      </c>
      <c r="M77" s="239"/>
      <c r="N77" s="239"/>
      <c r="O77" s="239"/>
      <c r="P77" s="239"/>
      <c r="Q77" s="239"/>
      <c r="R77" s="240"/>
      <c r="W77" s="115"/>
      <c r="DI77" s="7">
        <v>0</v>
      </c>
      <c r="DJ77" s="7">
        <v>0</v>
      </c>
      <c r="DK77" s="7">
        <v>0</v>
      </c>
      <c r="GG77" s="27"/>
      <c r="GH77" s="28"/>
      <c r="GI77" s="28"/>
      <c r="GJ77" s="28"/>
      <c r="GK77" s="28"/>
      <c r="GL77" s="28"/>
      <c r="GM77" s="28"/>
      <c r="GN77" s="28"/>
      <c r="GO77" s="28"/>
      <c r="GP77" s="28"/>
      <c r="GQ77" s="28"/>
      <c r="GS77" s="28"/>
      <c r="GT77" s="28"/>
      <c r="GU77" s="28"/>
      <c r="GV77" s="28"/>
      <c r="GW77" s="28"/>
      <c r="GZ77" s="28"/>
      <c r="HA77" s="28"/>
      <c r="HB77" s="28"/>
      <c r="HC77" s="28"/>
      <c r="HD77" s="28"/>
      <c r="HE77" s="28"/>
      <c r="HF77" s="28"/>
      <c r="HG77" s="28"/>
      <c r="HH77" s="28"/>
      <c r="HI77" s="28"/>
      <c r="HJ77" s="28"/>
      <c r="HK77" s="28"/>
      <c r="HL77" s="28"/>
      <c r="HM77" s="28"/>
      <c r="HN77" s="28"/>
      <c r="HO77" s="28"/>
      <c r="HP77" s="28"/>
      <c r="HQ77" s="28"/>
      <c r="HR77" s="28"/>
      <c r="HS77" s="28"/>
      <c r="HT77" s="28"/>
      <c r="HU77" s="28"/>
      <c r="HV77" s="28"/>
      <c r="HW77" s="28"/>
      <c r="HX77" s="28"/>
      <c r="HY77" s="89" t="s">
        <v>83</v>
      </c>
      <c r="HZ77" s="191" t="s">
        <v>130</v>
      </c>
      <c r="IB77" s="28"/>
      <c r="IC77" s="28"/>
      <c r="ID77" s="28"/>
      <c r="IE77" s="28"/>
      <c r="IF77" s="28"/>
      <c r="IG77" s="28"/>
      <c r="IH77" s="28"/>
      <c r="II77" s="28"/>
      <c r="IJ77" s="31"/>
    </row>
    <row r="78" spans="3:244" ht="7.5" customHeight="1">
      <c r="C78" s="115"/>
      <c r="D78" s="115"/>
      <c r="E78" s="115"/>
      <c r="F78" s="115"/>
      <c r="G78" s="115"/>
      <c r="H78" s="115"/>
      <c r="I78" s="165"/>
      <c r="J78" s="28"/>
      <c r="K78" s="28"/>
      <c r="L78" s="28"/>
      <c r="M78" s="28"/>
      <c r="N78" s="28"/>
      <c r="O78" s="28"/>
      <c r="P78" s="164"/>
      <c r="Q78" s="164"/>
      <c r="R78" s="166"/>
      <c r="W78" s="115"/>
      <c r="DI78" s="7">
        <v>0</v>
      </c>
      <c r="DJ78" s="7">
        <v>0</v>
      </c>
      <c r="DK78" s="7">
        <v>0</v>
      </c>
      <c r="GG78" s="27"/>
      <c r="GH78" s="28"/>
      <c r="GI78" s="28"/>
      <c r="GJ78" s="28"/>
      <c r="GK78" s="28"/>
      <c r="GL78" s="28"/>
      <c r="GM78" s="28"/>
      <c r="GN78" s="28"/>
      <c r="GO78" s="28"/>
      <c r="GP78" s="28"/>
      <c r="GQ78" s="28"/>
      <c r="GS78" s="28"/>
      <c r="GT78" s="28"/>
      <c r="GU78" s="28"/>
      <c r="GV78" s="28"/>
      <c r="GW78" s="28"/>
      <c r="GZ78" s="28"/>
      <c r="HA78" s="28"/>
      <c r="HB78" s="28"/>
      <c r="HC78" s="28"/>
      <c r="HD78" s="28"/>
      <c r="HE78" s="28"/>
      <c r="HF78" s="28"/>
      <c r="HG78" s="28"/>
      <c r="HH78" s="28"/>
      <c r="HI78" s="28"/>
      <c r="HJ78" s="28"/>
      <c r="HK78" s="28"/>
      <c r="HL78" s="28"/>
      <c r="HM78" s="28"/>
      <c r="HN78" s="28"/>
      <c r="HO78" s="28"/>
      <c r="HP78" s="28"/>
      <c r="HQ78" s="28"/>
      <c r="HR78" s="28"/>
      <c r="HS78" s="28"/>
      <c r="HT78" s="28"/>
      <c r="HU78" s="28"/>
      <c r="HV78" s="28"/>
      <c r="HW78" s="28"/>
      <c r="HX78" s="28"/>
      <c r="HY78" s="89" t="s">
        <v>77</v>
      </c>
      <c r="HZ78" s="191" t="s">
        <v>130</v>
      </c>
      <c r="IB78" s="28"/>
      <c r="IC78" s="28"/>
      <c r="ID78" s="28"/>
      <c r="IE78" s="28"/>
      <c r="IF78" s="28"/>
      <c r="IG78" s="28"/>
      <c r="IH78" s="28"/>
      <c r="II78" s="28"/>
      <c r="IJ78" s="31"/>
    </row>
    <row r="79" spans="3:244" ht="12.75">
      <c r="C79" s="115">
        <f>SUM((C40+D40+E40+F40)/($C$40+$D$40+$E$40+$F$40))</f>
        <v>1</v>
      </c>
      <c r="D79" s="115"/>
      <c r="E79" s="115"/>
      <c r="F79" s="115"/>
      <c r="G79" s="115">
        <f>IF(G40=0,0,G40/$G$40)</f>
        <v>0</v>
      </c>
      <c r="H79" s="115">
        <f>IF(H40=0,0,H40/$H$40)</f>
        <v>0</v>
      </c>
      <c r="I79" s="167" t="s">
        <v>117</v>
      </c>
      <c r="J79" s="28"/>
      <c r="K79" s="28"/>
      <c r="L79" s="237"/>
      <c r="M79" s="237"/>
      <c r="N79" s="237"/>
      <c r="O79" s="237"/>
      <c r="P79" s="237"/>
      <c r="Q79" s="237"/>
      <c r="R79" s="168"/>
      <c r="W79" s="115"/>
      <c r="DI79" s="7">
        <v>0</v>
      </c>
      <c r="DJ79" s="7">
        <v>0</v>
      </c>
      <c r="DK79" s="7">
        <v>0</v>
      </c>
      <c r="GG79" s="33"/>
      <c r="GH79" s="34"/>
      <c r="GI79" s="34"/>
      <c r="GJ79" s="34"/>
      <c r="GK79" s="34"/>
      <c r="GL79" s="34"/>
      <c r="GM79" s="34"/>
      <c r="GN79" s="34"/>
      <c r="GO79" s="34"/>
      <c r="GP79" s="34"/>
      <c r="GQ79" s="34"/>
      <c r="GS79" s="34"/>
      <c r="GT79" s="34"/>
      <c r="GU79" s="34"/>
      <c r="GV79" s="34"/>
      <c r="GW79" s="28"/>
      <c r="GZ79" s="34"/>
      <c r="HA79" s="34"/>
      <c r="HB79" s="34"/>
      <c r="HC79" s="34"/>
      <c r="HD79" s="34"/>
      <c r="HE79" s="34"/>
      <c r="HF79" s="34"/>
      <c r="HG79" s="34"/>
      <c r="HH79" s="34"/>
      <c r="HI79" s="34"/>
      <c r="HJ79" s="34"/>
      <c r="HK79" s="34"/>
      <c r="HL79" s="34"/>
      <c r="HM79" s="34"/>
      <c r="HN79" s="34"/>
      <c r="HO79" s="34"/>
      <c r="HP79" s="34"/>
      <c r="HQ79" s="34"/>
      <c r="HR79" s="34"/>
      <c r="HS79" s="34"/>
      <c r="HT79" s="34"/>
      <c r="HU79" s="34"/>
      <c r="HV79" s="34"/>
      <c r="HW79" s="34"/>
      <c r="HX79" s="34"/>
      <c r="HY79" s="89" t="s">
        <v>78</v>
      </c>
      <c r="HZ79" s="28" t="s">
        <v>129</v>
      </c>
      <c r="IB79" s="34"/>
      <c r="IC79" s="34"/>
      <c r="ID79" s="34"/>
      <c r="IE79" s="34"/>
      <c r="IF79" s="34"/>
      <c r="IG79" s="34"/>
      <c r="IH79" s="34"/>
      <c r="II79" s="34"/>
      <c r="IJ79" s="35"/>
    </row>
    <row r="80" spans="3:234" ht="6" customHeight="1">
      <c r="C80" s="115">
        <f>SUM((C41+D41+E41+F41)/($C$40+$D$40+$E$40+$F$40))</f>
        <v>1.7996557844350027</v>
      </c>
      <c r="D80" s="115"/>
      <c r="E80" s="115"/>
      <c r="F80" s="115"/>
      <c r="G80" s="115">
        <f>IF(G41=0,0,G41/$G$40)</f>
        <v>0</v>
      </c>
      <c r="H80" s="115">
        <f>IF(H41=0,0,H41/$H$40)</f>
        <v>0</v>
      </c>
      <c r="I80" s="169"/>
      <c r="J80" s="170"/>
      <c r="K80" s="170"/>
      <c r="L80" s="170"/>
      <c r="M80" s="170"/>
      <c r="N80" s="170"/>
      <c r="O80" s="170"/>
      <c r="P80" s="170"/>
      <c r="Q80" s="170"/>
      <c r="R80" s="171"/>
      <c r="W80" s="115"/>
      <c r="DI80" s="7">
        <v>0</v>
      </c>
      <c r="DJ80" s="7">
        <v>0</v>
      </c>
      <c r="DK80" s="7">
        <v>0</v>
      </c>
      <c r="HY80" s="89" t="s">
        <v>79</v>
      </c>
      <c r="HZ80" s="191" t="s">
        <v>130</v>
      </c>
    </row>
    <row r="81" spans="3:233" ht="12.75">
      <c r="C81" s="115">
        <f>SUM((C42+D42+E42+F42)/($C$40+$D$40+$E$40+$F$40))</f>
        <v>1.7850266229226055</v>
      </c>
      <c r="D81" s="115"/>
      <c r="E81" s="115"/>
      <c r="F81" s="115"/>
      <c r="G81" s="115">
        <f>IF(G42=0,0,G42/$G$40)</f>
        <v>0</v>
      </c>
      <c r="H81" s="115">
        <f>IF(H42=0,0,H42/$H$40)</f>
        <v>0</v>
      </c>
      <c r="W81" s="115"/>
      <c r="DI81" s="89"/>
      <c r="DJ81" s="89"/>
      <c r="DK81" s="89"/>
      <c r="HY81" s="99" t="s">
        <v>84</v>
      </c>
    </row>
    <row r="82" spans="3:115" ht="15.75">
      <c r="C82" s="115">
        <f>SUM((C43+D43+E43+F43)/($C$40+$D$40+$E$40+$F$40))</f>
        <v>2.5844134889474537</v>
      </c>
      <c r="D82" s="115"/>
      <c r="E82" s="115"/>
      <c r="F82" s="115"/>
      <c r="G82" s="115">
        <f>IF(G43=0,0,G43/$G$40)</f>
        <v>0</v>
      </c>
      <c r="H82" s="115">
        <f>IF(H43=0,0,H43/$H$40)</f>
        <v>0</v>
      </c>
      <c r="I82" s="65"/>
      <c r="W82" s="115"/>
      <c r="DI82" s="89"/>
      <c r="DJ82" s="89"/>
      <c r="DK82" s="89"/>
    </row>
    <row r="83" spans="113:115" ht="12.75">
      <c r="DI83" s="89"/>
      <c r="DJ83" s="89"/>
      <c r="DK83" s="89"/>
    </row>
    <row r="84" spans="9:115" ht="12.75">
      <c r="I84" s="231"/>
      <c r="J84" s="232"/>
      <c r="K84" s="232"/>
      <c r="L84" s="232"/>
      <c r="M84" s="232"/>
      <c r="N84" s="232"/>
      <c r="O84" s="232"/>
      <c r="P84" s="232"/>
      <c r="Q84" s="232"/>
      <c r="R84" s="232"/>
      <c r="DI84" s="89"/>
      <c r="DJ84" s="89"/>
      <c r="DK84" s="89"/>
    </row>
    <row r="85" spans="2:115" ht="12.75">
      <c r="B85">
        <f>SUM(K28+K34+K40)</f>
        <v>0</v>
      </c>
      <c r="C85" t="str">
        <f>IF($J$48="",(((K28*(C28+D28+E28+F28))+(K34*(C34+D34+E34+F34)))+(K40*(C40+D40+E40+F40))),"Error")</f>
        <v>Error</v>
      </c>
      <c r="G85" t="str">
        <f>IF($J$48="",((K28*G28)+(K34*G34)+(K40*G40)),"Error")</f>
        <v>Error</v>
      </c>
      <c r="H85" t="str">
        <f>IF($J$48="",((K28*H28)+(K34*H34)+(K40*H40)),"Error")</f>
        <v>Error</v>
      </c>
      <c r="DI85" s="89"/>
      <c r="DJ85" s="89"/>
      <c r="DK85" s="89"/>
    </row>
    <row r="86" spans="2:115" ht="12.75">
      <c r="B86">
        <f>SUM(K29+K35+K41)</f>
        <v>0</v>
      </c>
      <c r="C86" t="str">
        <f>IF($J$48="",(((K29*(C29+D29+E29+F29))+(K35*(C35+D35+E35+F35)))+(K41*(C41+D41+E41+F41))),"Error")</f>
        <v>Error</v>
      </c>
      <c r="G86" t="str">
        <f>IF($J$48="",((K29*G29)+(K35*G35)+(K41*G41)),"Error")</f>
        <v>Error</v>
      </c>
      <c r="H86" t="str">
        <f>IF($J$48="",((K29*H29)+(K35*H35)+(K41*H41)),"Error")</f>
        <v>Error</v>
      </c>
      <c r="I86" s="64"/>
      <c r="J86" s="233"/>
      <c r="K86" s="234"/>
      <c r="L86" s="234"/>
      <c r="M86" s="234"/>
      <c r="N86" s="234"/>
      <c r="O86" s="234"/>
      <c r="P86" s="234"/>
      <c r="Q86" s="234"/>
      <c r="R86" s="234"/>
      <c r="DI86" s="20">
        <v>100</v>
      </c>
      <c r="DJ86" s="20">
        <v>200</v>
      </c>
      <c r="DK86" s="20">
        <v>500</v>
      </c>
    </row>
    <row r="87" spans="2:115" ht="12.75" customHeight="1">
      <c r="B87">
        <f>SUM(K30+K36+K42)</f>
        <v>0</v>
      </c>
      <c r="C87" t="str">
        <f>IF($J$48="",(((K30*(C30+D30+E30+F30))+(K36*(C36+D36+E36+F36)))+(K42*(C42+D42+E42+F42))),"Error")</f>
        <v>Error</v>
      </c>
      <c r="G87" t="str">
        <f>IF($J$48="",((K30*G30)+(K36*G36)+(K42*G42)),"Error")</f>
        <v>Error</v>
      </c>
      <c r="H87" t="str">
        <f>IF($J$48="",((K30*H30)+(K36*H36)+(K42*H42)),"Error")</f>
        <v>Error</v>
      </c>
      <c r="I87" s="64"/>
      <c r="J87" s="214"/>
      <c r="K87" s="235"/>
      <c r="L87" s="235"/>
      <c r="M87" s="235"/>
      <c r="N87" s="235"/>
      <c r="O87" s="235"/>
      <c r="P87" s="235"/>
      <c r="Q87" s="235"/>
      <c r="R87" s="235"/>
      <c r="DI87" s="7">
        <v>0</v>
      </c>
      <c r="DJ87" s="7">
        <v>0</v>
      </c>
      <c r="DK87" s="7">
        <v>0</v>
      </c>
    </row>
    <row r="88" spans="2:115" ht="63.75" customHeight="1">
      <c r="B88">
        <f>SUM(K31+K37+K43)</f>
        <v>0</v>
      </c>
      <c r="C88" t="str">
        <f>IF($J$48="",(((K31*(C31+D31+E31+F31))+(K37*(C37+D37+E37+F37)))+(K43*(C43+D43+E43+F43))),"Error")</f>
        <v>Error</v>
      </c>
      <c r="G88" t="str">
        <f>IF($J$48="",((K31*G31)+(K37*G37)+(K43*G43)),"Error")</f>
        <v>Error</v>
      </c>
      <c r="H88" t="str">
        <f>IF($J$48="",((K31*H31)+(K37*H37)+(K43*H43)),"Error")</f>
        <v>Error</v>
      </c>
      <c r="I88" s="64"/>
      <c r="J88" s="214"/>
      <c r="K88" s="235"/>
      <c r="L88" s="235"/>
      <c r="M88" s="235"/>
      <c r="N88" s="235"/>
      <c r="O88" s="235"/>
      <c r="P88" s="235"/>
      <c r="Q88" s="235"/>
      <c r="R88" s="235"/>
      <c r="DI88" s="7">
        <v>0</v>
      </c>
      <c r="DJ88" s="7">
        <v>0</v>
      </c>
      <c r="DK88" s="7">
        <v>0</v>
      </c>
    </row>
    <row r="89" spans="1:115" ht="25.5" customHeight="1">
      <c r="A89" s="17" t="s">
        <v>56</v>
      </c>
      <c r="B89">
        <f>SUM(B85:B88)</f>
        <v>0</v>
      </c>
      <c r="C89">
        <f>SUM(C85:C88)</f>
        <v>0</v>
      </c>
      <c r="G89">
        <f>SUM(G85:G88)</f>
        <v>0</v>
      </c>
      <c r="H89">
        <f>SUM(H85:H88)</f>
        <v>0</v>
      </c>
      <c r="I89" s="64"/>
      <c r="J89" s="214"/>
      <c r="K89" s="235"/>
      <c r="L89" s="235"/>
      <c r="M89" s="235"/>
      <c r="N89" s="235"/>
      <c r="O89" s="235"/>
      <c r="P89" s="235"/>
      <c r="Q89" s="235"/>
      <c r="R89" s="235"/>
      <c r="AA89" s="117"/>
      <c r="AB89" s="117"/>
      <c r="AC89" s="17"/>
      <c r="AD89" s="17"/>
      <c r="AE89" s="17"/>
      <c r="DI89" s="7">
        <v>0</v>
      </c>
      <c r="DJ89" s="7">
        <v>0</v>
      </c>
      <c r="DK89" s="7">
        <v>0</v>
      </c>
    </row>
    <row r="90" spans="9:115" ht="12.75">
      <c r="I90" s="64"/>
      <c r="J90" s="233"/>
      <c r="K90" s="234"/>
      <c r="L90" s="234"/>
      <c r="M90" s="234"/>
      <c r="N90" s="234"/>
      <c r="O90" s="234"/>
      <c r="P90" s="234"/>
      <c r="Q90" s="234"/>
      <c r="R90" s="234"/>
      <c r="Z90" s="116"/>
      <c r="AA90" s="116"/>
      <c r="AB90" s="116"/>
      <c r="AC90" s="116"/>
      <c r="AD90" s="116"/>
      <c r="AE90" s="116"/>
      <c r="DI90" s="7">
        <v>0</v>
      </c>
      <c r="DJ90" s="7">
        <v>0</v>
      </c>
      <c r="DK90" s="7">
        <v>0</v>
      </c>
    </row>
    <row r="91" spans="9:31" ht="12.75">
      <c r="I91" s="64"/>
      <c r="J91" s="233"/>
      <c r="K91" s="234"/>
      <c r="L91" s="234"/>
      <c r="M91" s="234"/>
      <c r="N91" s="234"/>
      <c r="O91" s="234"/>
      <c r="P91" s="234"/>
      <c r="Q91" s="234"/>
      <c r="R91" s="234"/>
      <c r="W91" s="41"/>
      <c r="X91" s="42"/>
      <c r="Y91" s="42"/>
      <c r="Z91" s="1"/>
      <c r="AA91" s="1"/>
      <c r="AB91" s="1"/>
      <c r="AC91" s="119"/>
      <c r="AD91" s="118"/>
      <c r="AE91" s="118"/>
    </row>
    <row r="92" spans="2:31" ht="12.75">
      <c r="B92" s="21" t="s">
        <v>10</v>
      </c>
      <c r="C92" s="1" t="e">
        <f>SUM(C85/B85)</f>
        <v>#VALUE!</v>
      </c>
      <c r="G92" t="e">
        <f>SUM(G85/B85)</f>
        <v>#VALUE!</v>
      </c>
      <c r="H92" t="e">
        <f>SUM(H85/B85)</f>
        <v>#VALUE!</v>
      </c>
      <c r="I92" s="64"/>
      <c r="J92" s="233"/>
      <c r="K92" s="234"/>
      <c r="L92" s="234"/>
      <c r="M92" s="234"/>
      <c r="N92" s="234"/>
      <c r="O92" s="234"/>
      <c r="P92" s="234"/>
      <c r="Q92" s="234"/>
      <c r="R92" s="234"/>
      <c r="W92" s="41"/>
      <c r="X92" s="42"/>
      <c r="Y92" s="42"/>
      <c r="Z92" s="1"/>
      <c r="AA92" s="1"/>
      <c r="AB92" s="1"/>
      <c r="AC92" s="119"/>
      <c r="AD92" s="118"/>
      <c r="AE92" s="118"/>
    </row>
    <row r="93" spans="9:31" ht="12.75">
      <c r="I93" s="64"/>
      <c r="J93" s="233"/>
      <c r="K93" s="234"/>
      <c r="L93" s="234"/>
      <c r="M93" s="234"/>
      <c r="N93" s="234"/>
      <c r="O93" s="234"/>
      <c r="P93" s="234"/>
      <c r="Q93" s="234"/>
      <c r="R93" s="234"/>
      <c r="W93" s="41"/>
      <c r="X93" s="42"/>
      <c r="Y93" s="42"/>
      <c r="Z93" s="1"/>
      <c r="AA93" s="1"/>
      <c r="AB93" s="1"/>
      <c r="AC93" s="119"/>
      <c r="AD93" s="118"/>
      <c r="AE93" s="118"/>
    </row>
    <row r="94" spans="2:31" ht="25.5" customHeight="1">
      <c r="B94" s="17" t="s">
        <v>107</v>
      </c>
      <c r="C94" s="1" t="e">
        <f>SUM(C92/$C$92)</f>
        <v>#VALUE!</v>
      </c>
      <c r="G94" s="1" t="e">
        <f>IF(G92=0,0,(G92/$G$92))</f>
        <v>#VALUE!</v>
      </c>
      <c r="H94" s="1" t="e">
        <f>IF(H92=0,0,(H92/$H$92))</f>
        <v>#VALUE!</v>
      </c>
      <c r="I94" s="64"/>
      <c r="J94" s="214"/>
      <c r="K94" s="235"/>
      <c r="L94" s="235"/>
      <c r="M94" s="235"/>
      <c r="N94" s="235"/>
      <c r="O94" s="235"/>
      <c r="P94" s="235"/>
      <c r="Q94" s="235"/>
      <c r="R94" s="235"/>
      <c r="W94" s="41"/>
      <c r="X94" s="42"/>
      <c r="Y94" s="42"/>
      <c r="Z94" s="1"/>
      <c r="AA94" s="1"/>
      <c r="AB94" s="1"/>
      <c r="AC94" s="119"/>
      <c r="AD94" s="118"/>
      <c r="AE94" s="118"/>
    </row>
    <row r="95" spans="2:18" ht="25.5" customHeight="1">
      <c r="B95" s="17" t="s">
        <v>108</v>
      </c>
      <c r="C95" s="1" t="e">
        <f>C94</f>
        <v>#VALUE!</v>
      </c>
      <c r="G95" s="1" t="e">
        <f>G94</f>
        <v>#VALUE!</v>
      </c>
      <c r="H95" s="1" t="e">
        <f>H94</f>
        <v>#VALUE!</v>
      </c>
      <c r="I95" s="64"/>
      <c r="J95" s="214"/>
      <c r="K95" s="235"/>
      <c r="L95" s="235"/>
      <c r="M95" s="235"/>
      <c r="N95" s="235"/>
      <c r="O95" s="235"/>
      <c r="P95" s="235"/>
      <c r="Q95" s="235"/>
      <c r="R95" s="235"/>
    </row>
    <row r="96" spans="2:31" s="62" customFormat="1" ht="25.5" customHeight="1">
      <c r="B96" s="157" t="s">
        <v>109</v>
      </c>
      <c r="C96" s="160" t="e">
        <f>C95*K52</f>
        <v>#VALUE!</v>
      </c>
      <c r="G96" s="160" t="e">
        <f>G95*K52</f>
        <v>#VALUE!</v>
      </c>
      <c r="H96" s="160" t="e">
        <f>H95*K52</f>
        <v>#VALUE!</v>
      </c>
      <c r="I96" s="64"/>
      <c r="J96" s="214"/>
      <c r="K96" s="235"/>
      <c r="L96" s="235"/>
      <c r="M96" s="235"/>
      <c r="N96" s="235"/>
      <c r="O96" s="235"/>
      <c r="P96" s="235"/>
      <c r="Q96" s="235"/>
      <c r="R96" s="235"/>
      <c r="W96"/>
      <c r="X96"/>
      <c r="Y96"/>
      <c r="Z96"/>
      <c r="AA96"/>
      <c r="AB96" s="1"/>
      <c r="AC96"/>
      <c r="AD96"/>
      <c r="AE96" s="118"/>
    </row>
    <row r="97" spans="2:18" ht="38.25" customHeight="1">
      <c r="B97" s="17" t="s">
        <v>110</v>
      </c>
      <c r="C97" s="1" t="e">
        <f>SUM(C95*($C$89/($C$96+$C$105+$C$114+$C$123))*$K52)</f>
        <v>#VALUE!</v>
      </c>
      <c r="G97" s="1">
        <f>IF(G89=0,G89,((G95*($G$89/($G$96+$G$105+$G$114+$G$123))*$K52)))</f>
        <v>0</v>
      </c>
      <c r="H97" s="1">
        <f>IF(H89=0,0,((H95*($H$89/($H$96+$H$105+$H$114+$H$123))*$K52)))</f>
        <v>0</v>
      </c>
      <c r="I97" s="64"/>
      <c r="J97" s="214"/>
      <c r="K97" s="235"/>
      <c r="L97" s="235"/>
      <c r="M97" s="235"/>
      <c r="N97" s="235"/>
      <c r="O97" s="235"/>
      <c r="P97" s="235"/>
      <c r="Q97" s="235"/>
      <c r="R97" s="235"/>
    </row>
    <row r="98" spans="2:18" ht="25.5" customHeight="1">
      <c r="B98" s="17" t="s">
        <v>111</v>
      </c>
      <c r="C98" s="163" t="e">
        <f>SUM($C$89/($C$96+$C$105+$C$114+$C$123)*C95)</f>
        <v>#VALUE!</v>
      </c>
      <c r="D98" s="21"/>
      <c r="E98" s="21"/>
      <c r="F98" s="21"/>
      <c r="G98" s="163">
        <f>IF(G89=0,0,(($G$89/($G$96+$G$105+$G$114+$G$123)*G95)))</f>
        <v>0</v>
      </c>
      <c r="H98" s="163">
        <f>IF(H89=0,0,(($H$89/($H$96+$H$105+$H$114+$H$123)*H95)))</f>
        <v>0</v>
      </c>
      <c r="I98" s="64"/>
      <c r="J98" s="214"/>
      <c r="K98" s="235"/>
      <c r="L98" s="235"/>
      <c r="M98" s="235"/>
      <c r="N98" s="235"/>
      <c r="O98" s="235"/>
      <c r="P98" s="235"/>
      <c r="Q98" s="235"/>
      <c r="R98" s="235"/>
    </row>
    <row r="99" spans="2:8" ht="12.75">
      <c r="B99" s="17" t="s">
        <v>112</v>
      </c>
      <c r="C99" s="1" t="e">
        <f>SUM(C98*K52)</f>
        <v>#VALUE!</v>
      </c>
      <c r="G99" s="1" t="e">
        <f>SUM(G98*K52)</f>
        <v>#VALUE!</v>
      </c>
      <c r="H99" s="1" t="e">
        <f>SUM(H98*K52)</f>
        <v>#VALUE!</v>
      </c>
    </row>
    <row r="101" ht="15.75">
      <c r="I101" s="65"/>
    </row>
    <row r="102" spans="2:8" ht="12.75">
      <c r="B102" s="21" t="s">
        <v>11</v>
      </c>
      <c r="C102" s="1" t="e">
        <f>C86/B86</f>
        <v>#VALUE!</v>
      </c>
      <c r="G102" s="1" t="e">
        <f>G86/B86</f>
        <v>#VALUE!</v>
      </c>
      <c r="H102" s="1" t="e">
        <f>H86/B86</f>
        <v>#VALUE!</v>
      </c>
    </row>
    <row r="103" spans="2:18" ht="51" customHeight="1">
      <c r="B103" s="17" t="s">
        <v>107</v>
      </c>
      <c r="C103" s="1" t="e">
        <f>SUM(C102/C92)</f>
        <v>#VALUE!</v>
      </c>
      <c r="G103" s="1" t="e">
        <f>IF(G102=0,0,((G102/G92)))</f>
        <v>#VALUE!</v>
      </c>
      <c r="H103" s="1" t="e">
        <f>IF(H102=0,0,((H102/H92)))</f>
        <v>#VALUE!</v>
      </c>
      <c r="I103" s="64"/>
      <c r="J103" s="214"/>
      <c r="K103" s="235"/>
      <c r="L103" s="235"/>
      <c r="M103" s="235"/>
      <c r="N103" s="235"/>
      <c r="O103" s="235"/>
      <c r="P103" s="235"/>
      <c r="Q103" s="235"/>
      <c r="R103" s="235"/>
    </row>
    <row r="104" spans="2:18" ht="38.25" customHeight="1">
      <c r="B104" s="17" t="s">
        <v>108</v>
      </c>
      <c r="C104" s="162">
        <f>IF(ISERROR(((C68*K29)+(C74*K35)+(C80*K41))/K53),((3*C68)+(2*C74)+(1*C80))/(6),((C68*K29)+(C74*K35)+(C80*K41))/K53)</f>
        <v>1.7999993383714088</v>
      </c>
      <c r="G104" s="162">
        <f>IF(ISERROR(((G68*K29)+(G74*K35)+(G80*K41))/K53),((3*G68)+(2*G74)+(1*G80))/(6),((G68*K29)+(G74*K35)+(G80*K41))/K53)</f>
        <v>0</v>
      </c>
      <c r="H104" s="162">
        <f>IF(ISERROR(((H68*K29)+(H74*K35)+(H80*K41))/K53),((3*H68)+(2*H74)+(1*H80))/(6),((H68*K29)+(H74*K35)+(H80*K41))/K53)</f>
        <v>0</v>
      </c>
      <c r="I104" s="64"/>
      <c r="J104" s="214"/>
      <c r="K104" s="235"/>
      <c r="L104" s="235"/>
      <c r="M104" s="235"/>
      <c r="N104" s="235"/>
      <c r="O104" s="235"/>
      <c r="P104" s="235"/>
      <c r="Q104" s="235"/>
      <c r="R104" s="235"/>
    </row>
    <row r="105" spans="2:8" ht="12.75">
      <c r="B105" s="157" t="s">
        <v>109</v>
      </c>
      <c r="C105" s="1" t="e">
        <f>SUM(C104*K53)</f>
        <v>#VALUE!</v>
      </c>
      <c r="G105" s="1" t="e">
        <f>SUM(G104*K53)</f>
        <v>#VALUE!</v>
      </c>
      <c r="H105" s="1" t="e">
        <f>SUM(H104*K53)</f>
        <v>#VALUE!</v>
      </c>
    </row>
    <row r="106" spans="2:8" ht="12.75">
      <c r="B106" s="17" t="s">
        <v>110</v>
      </c>
      <c r="C106" s="1" t="e">
        <f>SUM(C104*($C$89/($C$96+$C$105+$C$114+$C$123))*$K53)</f>
        <v>#VALUE!</v>
      </c>
      <c r="G106" s="1">
        <f>IF(G89=0,0,((G104*($G$89/($G$96+$G$105+$G$114+$G$123))*$K53)))</f>
        <v>0</v>
      </c>
      <c r="H106" s="1">
        <f>IF(H89=0,0,((H104*($H$89/($H$96+$H$105+$H$114+$H$123))*$K53)))</f>
        <v>0</v>
      </c>
    </row>
    <row r="107" spans="2:18" ht="38.25" customHeight="1">
      <c r="B107" s="17" t="s">
        <v>111</v>
      </c>
      <c r="C107" s="163" t="e">
        <f>SUM($C$89/($C$96+$C$105+$C$114+$C$123)*C104)</f>
        <v>#VALUE!</v>
      </c>
      <c r="D107" s="21"/>
      <c r="E107" s="21"/>
      <c r="F107" s="21"/>
      <c r="G107" s="163">
        <f>IF(G89=0,0,(($G$89/($G$96+$G$105+$G$114+$G$123)*G104)))</f>
        <v>0</v>
      </c>
      <c r="H107" s="163">
        <f>IF(H89=0,0,(($H$89/($H$96+$H$105+$H$114+$H$123)*H104)))</f>
        <v>0</v>
      </c>
      <c r="I107" s="242"/>
      <c r="J107" s="242"/>
      <c r="K107" s="242"/>
      <c r="L107" s="242"/>
      <c r="M107" s="242"/>
      <c r="N107" s="242"/>
      <c r="O107" s="242"/>
      <c r="P107" s="242"/>
      <c r="Q107" s="242"/>
      <c r="R107" s="242"/>
    </row>
    <row r="108" spans="2:10" ht="7.5" customHeight="1">
      <c r="B108" s="17" t="s">
        <v>112</v>
      </c>
      <c r="C108" s="1" t="e">
        <f>SUM(C107*K53)</f>
        <v>#VALUE!</v>
      </c>
      <c r="G108" s="1" t="e">
        <f>SUM(G107*K53)</f>
        <v>#VALUE!</v>
      </c>
      <c r="H108" s="1" t="e">
        <f>SUM(H107*K53)</f>
        <v>#VALUE!</v>
      </c>
      <c r="J108" s="66"/>
    </row>
    <row r="109" spans="3:18" s="100" customFormat="1" ht="12.75">
      <c r="C109" s="161"/>
      <c r="G109" s="161"/>
      <c r="H109" s="161"/>
      <c r="I109" s="241"/>
      <c r="J109" s="241"/>
      <c r="K109" s="241"/>
      <c r="L109" s="241"/>
      <c r="M109" s="241"/>
      <c r="N109" s="241"/>
      <c r="O109" s="241"/>
      <c r="P109" s="241"/>
      <c r="Q109" s="241"/>
      <c r="R109" s="241"/>
    </row>
    <row r="110" spans="3:8" ht="12.75" customHeight="1">
      <c r="C110" s="1"/>
      <c r="G110" s="1"/>
      <c r="H110" s="1"/>
    </row>
    <row r="111" spans="2:18" ht="25.5" customHeight="1">
      <c r="B111" s="21" t="s">
        <v>12</v>
      </c>
      <c r="C111" s="1" t="e">
        <f>C87/B87</f>
        <v>#VALUE!</v>
      </c>
      <c r="G111" s="1" t="e">
        <f>G87/B87</f>
        <v>#VALUE!</v>
      </c>
      <c r="H111" s="1" t="e">
        <f>H87/B87</f>
        <v>#VALUE!</v>
      </c>
      <c r="I111" s="235"/>
      <c r="J111" s="235"/>
      <c r="K111" s="235"/>
      <c r="L111" s="235"/>
      <c r="M111" s="235"/>
      <c r="N111" s="235"/>
      <c r="O111" s="235"/>
      <c r="P111" s="235"/>
      <c r="Q111" s="235"/>
      <c r="R111" s="235"/>
    </row>
    <row r="112" spans="2:8" ht="12.75">
      <c r="B112" s="17" t="s">
        <v>107</v>
      </c>
      <c r="C112" s="1" t="e">
        <f>C111/C92</f>
        <v>#VALUE!</v>
      </c>
      <c r="G112" s="1" t="e">
        <f>IF(G111=0,0,(G111/G92))</f>
        <v>#VALUE!</v>
      </c>
      <c r="H112" s="1" t="e">
        <f>IF(H111=0,0,(H111/H92))</f>
        <v>#VALUE!</v>
      </c>
    </row>
    <row r="113" spans="2:8" ht="12.75">
      <c r="B113" s="17" t="s">
        <v>108</v>
      </c>
      <c r="C113" s="1">
        <f>IF(ISERROR(((C69*K30)+(C75*K36)+(C81*K42))/K54),((3*C69)+(2*C75)+(1*C81))/(6),((C69*K30)+(C75*K36)+(C81*K42))/K54)</f>
        <v>2.243421755152809</v>
      </c>
      <c r="G113" s="1">
        <f>IF(ISERROR(((G69*K30)+(G75*K36)+(G81*K42))/K54),((3*G69)+(2*G75)+(1*G81))/(6),((G69*K30)+(G75*K36)+(G81*K42))/K54)</f>
        <v>0</v>
      </c>
      <c r="H113" s="1">
        <f>IF(ISERROR(((H69*K30)+(H75*K36)+(H81*K42))/K54),((3*H69)+(2*H75)+(1*H81))/(6),((H69*K30)+(H75*K36)+(H81*K42))/K54)</f>
        <v>0</v>
      </c>
    </row>
    <row r="114" spans="2:8" ht="12.75">
      <c r="B114" s="157" t="s">
        <v>109</v>
      </c>
      <c r="C114" s="1" t="e">
        <f>SUM(C113*K54)</f>
        <v>#VALUE!</v>
      </c>
      <c r="G114" s="1" t="e">
        <f>SUM(G113*K54)</f>
        <v>#VALUE!</v>
      </c>
      <c r="H114" s="1" t="e">
        <f>SUM(H113*K54)</f>
        <v>#VALUE!</v>
      </c>
    </row>
    <row r="115" spans="2:8" ht="12.75">
      <c r="B115" s="17" t="s">
        <v>110</v>
      </c>
      <c r="C115" s="1" t="e">
        <f>SUM(C113*($C$89/($C$96+$C$105+$C$114+$C$123))*$K54)</f>
        <v>#VALUE!</v>
      </c>
      <c r="G115" s="1">
        <f>IF(G89=0,0,((G113*($G$89/($G$96+$G$105+$G$114+$G$123))*$K54)))</f>
        <v>0</v>
      </c>
      <c r="H115" s="1">
        <f>IF(H89=0,0,((H113*($H$89/($H$96+$H$105+$H$114+$H$123))*$K54)))</f>
        <v>0</v>
      </c>
    </row>
    <row r="116" spans="2:8" ht="12.75">
      <c r="B116" s="17" t="s">
        <v>111</v>
      </c>
      <c r="C116" s="163" t="e">
        <f>SUM($C$89/($C$96+$C$105+$C$114+$C$123)*C113)</f>
        <v>#VALUE!</v>
      </c>
      <c r="D116" s="21"/>
      <c r="E116" s="21"/>
      <c r="F116" s="21"/>
      <c r="G116" s="163">
        <f>IF(G89=0,0,(($G$89/($G$96+$G$105+$G$114+$G$123)*G113)))</f>
        <v>0</v>
      </c>
      <c r="H116" s="163">
        <f>IF(H89=0,0,(($H$89/($H$96+$H$105+$H$114+$H$123)*H113)))</f>
        <v>0</v>
      </c>
    </row>
    <row r="117" spans="2:8" ht="12.75">
      <c r="B117" s="17" t="s">
        <v>112</v>
      </c>
      <c r="C117" s="1" t="e">
        <f>SUM(C116*K54)</f>
        <v>#VALUE!</v>
      </c>
      <c r="G117" s="1" t="e">
        <f>SUM(G116*K54)</f>
        <v>#VALUE!</v>
      </c>
      <c r="H117" s="1" t="e">
        <f>SUM(H116*K54)</f>
        <v>#VALUE!</v>
      </c>
    </row>
    <row r="118" spans="3:8" ht="12.75">
      <c r="C118" s="1"/>
      <c r="G118" s="1"/>
      <c r="H118" s="1"/>
    </row>
    <row r="119" spans="3:8" ht="12.75">
      <c r="C119" s="1"/>
      <c r="G119" s="1"/>
      <c r="H119" s="1"/>
    </row>
    <row r="120" spans="2:8" ht="12.75">
      <c r="B120" s="21" t="s">
        <v>13</v>
      </c>
      <c r="C120" s="1" t="e">
        <f>C88/B88</f>
        <v>#VALUE!</v>
      </c>
      <c r="G120" s="1" t="e">
        <f>G88/B88</f>
        <v>#VALUE!</v>
      </c>
      <c r="H120" s="1" t="e">
        <f>H88/B88</f>
        <v>#VALUE!</v>
      </c>
    </row>
    <row r="121" spans="2:8" ht="12.75">
      <c r="B121" s="17" t="s">
        <v>107</v>
      </c>
      <c r="C121" s="1" t="e">
        <f>SUM(C120/C92)</f>
        <v>#VALUE!</v>
      </c>
      <c r="G121" s="1" t="e">
        <f>IF(G120=0,0,((G120/G92)))</f>
        <v>#VALUE!</v>
      </c>
      <c r="H121" s="1" t="e">
        <f>IF(H120=0,0,((H120/H92)))</f>
        <v>#VALUE!</v>
      </c>
    </row>
    <row r="122" spans="2:8" ht="12.75">
      <c r="B122" s="17" t="s">
        <v>108</v>
      </c>
      <c r="C122" s="1">
        <f>IF(ISERROR(((C70*K31)+(C76*K37)+(C82*K43))/K55),((3*C70)+(2*C76)+(1*C82))/(6),((C70*K31)+(C76*K37)+(C82*K43))/K55)</f>
        <v>3.042838562860666</v>
      </c>
      <c r="G122" s="1">
        <f>IF(ISERROR(((G70*K31)+(G76*K37)+(G82*K43))/K55),((3*G70)+(2*G76)+(1*G82))/(6),((G70*K31)+(G76*K37)+(G82*K43))/K55)</f>
        <v>0</v>
      </c>
      <c r="H122" s="1">
        <f>IF(ISERROR(((H70*K31)+(H76*K37)+(H82*K43))/K55),((3*H70)+(2*H76)+(1*H82))/(6),((H70*K31)+(H76*K37)+(H82*K43))/K55)</f>
        <v>0</v>
      </c>
    </row>
    <row r="123" spans="2:8" ht="12.75">
      <c r="B123" s="157" t="s">
        <v>109</v>
      </c>
      <c r="C123" s="1" t="e">
        <f>SUM(C122*K55)</f>
        <v>#VALUE!</v>
      </c>
      <c r="G123" s="1" t="e">
        <f>SUM(G122*K55)</f>
        <v>#VALUE!</v>
      </c>
      <c r="H123" s="1" t="e">
        <f>SUM(H122*K55)</f>
        <v>#VALUE!</v>
      </c>
    </row>
    <row r="124" spans="2:8" ht="12.75">
      <c r="B124" s="17" t="s">
        <v>110</v>
      </c>
      <c r="C124" s="1" t="e">
        <f>SUM(C122*($C$89/($C$96+$C$105+$C$114+$C$123))*$K55)</f>
        <v>#VALUE!</v>
      </c>
      <c r="G124" s="1">
        <f>IF(G89=0,0,((G122*($G$89/($G$96+$G$105+$G$114+$G$123))*$K55)))</f>
        <v>0</v>
      </c>
      <c r="H124" s="1">
        <f>IF(H89=0,0,((H122*($H$89/($H$96+$H$105+$H$114+$H$123))*$K55)))</f>
        <v>0</v>
      </c>
    </row>
    <row r="125" spans="2:8" ht="12.75">
      <c r="B125" s="17" t="s">
        <v>111</v>
      </c>
      <c r="C125" s="163" t="e">
        <f>SUM($C$89/($C$96+$C$105+$C$114+$C$123)*C122)</f>
        <v>#VALUE!</v>
      </c>
      <c r="D125" s="21"/>
      <c r="E125" s="21"/>
      <c r="F125" s="21"/>
      <c r="G125" s="163">
        <f>IF(G89=0,0,(($G$89/($G$96+$G$105+$G$114+$G$123)*G122)))</f>
        <v>0</v>
      </c>
      <c r="H125" s="163">
        <f>IF(H89=0,0,(($H$89/($H$96+$H$105+$H$114+$H$123)*H122)))</f>
        <v>0</v>
      </c>
    </row>
    <row r="126" spans="2:8" ht="12.75">
      <c r="B126" s="17" t="s">
        <v>112</v>
      </c>
      <c r="C126" s="1" t="e">
        <f>SUM(C125*K55)</f>
        <v>#VALUE!</v>
      </c>
      <c r="G126" s="1" t="e">
        <f>SUM(G125*K55)</f>
        <v>#VALUE!</v>
      </c>
      <c r="H126" s="1" t="e">
        <f>SUM(H125*K55)</f>
        <v>#VALUE!</v>
      </c>
    </row>
    <row r="127" ht="12.75">
      <c r="C127" s="1"/>
    </row>
    <row r="128" ht="12.75">
      <c r="C128" s="1"/>
    </row>
    <row r="129" spans="3:8" ht="12.75">
      <c r="C129" s="98" t="s">
        <v>10</v>
      </c>
      <c r="D129" s="1" t="e">
        <f>(C98+G98+H98)</f>
        <v>#VALUE!</v>
      </c>
      <c r="G129" s="1"/>
      <c r="H129" s="1"/>
    </row>
    <row r="130" spans="3:4" ht="12.75">
      <c r="C130" s="98" t="s">
        <v>11</v>
      </c>
      <c r="D130" s="1" t="e">
        <f>SUM(C107+G107+H107)</f>
        <v>#VALUE!</v>
      </c>
    </row>
    <row r="131" spans="3:4" ht="12.75">
      <c r="C131" s="98" t="s">
        <v>12</v>
      </c>
      <c r="D131" s="1" t="e">
        <f>SUM(C116+G116+H116)</f>
        <v>#VALUE!</v>
      </c>
    </row>
    <row r="132" spans="3:4" ht="12.75">
      <c r="C132" s="98" t="s">
        <v>13</v>
      </c>
      <c r="D132" s="1" t="e">
        <f>SUM(C125+G125+H125)</f>
        <v>#VALUE!</v>
      </c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</sheetData>
  <sheetProtection password="DF46" sheet="1" selectLockedCells="1"/>
  <mergeCells count="53">
    <mergeCell ref="I109:R109"/>
    <mergeCell ref="I111:R111"/>
    <mergeCell ref="J96:R96"/>
    <mergeCell ref="J97:R97"/>
    <mergeCell ref="J98:R98"/>
    <mergeCell ref="J103:R103"/>
    <mergeCell ref="J104:R104"/>
    <mergeCell ref="I107:R107"/>
    <mergeCell ref="J90:R90"/>
    <mergeCell ref="J91:R91"/>
    <mergeCell ref="J92:R92"/>
    <mergeCell ref="J93:R93"/>
    <mergeCell ref="J94:R94"/>
    <mergeCell ref="J95:R95"/>
    <mergeCell ref="L79:Q79"/>
    <mergeCell ref="I84:R84"/>
    <mergeCell ref="J86:R86"/>
    <mergeCell ref="J87:R87"/>
    <mergeCell ref="J88:R88"/>
    <mergeCell ref="J89:R89"/>
    <mergeCell ref="I71:R71"/>
    <mergeCell ref="I72:R72"/>
    <mergeCell ref="I73:R73"/>
    <mergeCell ref="I74:R74"/>
    <mergeCell ref="J75:O75"/>
    <mergeCell ref="I77:J77"/>
    <mergeCell ref="L77:R77"/>
    <mergeCell ref="I65:R65"/>
    <mergeCell ref="I66:R66"/>
    <mergeCell ref="I67:R67"/>
    <mergeCell ref="I68:R68"/>
    <mergeCell ref="I69:R69"/>
    <mergeCell ref="I70:R70"/>
    <mergeCell ref="I59:R59"/>
    <mergeCell ref="I60:R60"/>
    <mergeCell ref="I61:R61"/>
    <mergeCell ref="I62:R62"/>
    <mergeCell ref="I63:R63"/>
    <mergeCell ref="I64:R64"/>
    <mergeCell ref="O24:R24"/>
    <mergeCell ref="J48:R48"/>
    <mergeCell ref="O49:R49"/>
    <mergeCell ref="O50:R50"/>
    <mergeCell ref="J57:R57"/>
    <mergeCell ref="I58:R58"/>
    <mergeCell ref="O46:R46"/>
    <mergeCell ref="N18:V18"/>
    <mergeCell ref="I1:Q1"/>
    <mergeCell ref="J4:Q4"/>
    <mergeCell ref="I6:R6"/>
    <mergeCell ref="J8:K8"/>
    <mergeCell ref="I10:Q10"/>
    <mergeCell ref="I13:K13"/>
  </mergeCells>
  <conditionalFormatting sqref="J75:O75">
    <cfRule type="expression" priority="1" dxfId="0" stopIfTrue="1">
      <formula>$J$75=""</formula>
    </cfRule>
  </conditionalFormatting>
  <dataValidations count="11">
    <dataValidation type="list" allowBlank="1" showInputMessage="1" showErrorMessage="1" sqref="M9">
      <formula1>HY40:HY80</formula1>
    </dataValidation>
    <dataValidation type="list" allowBlank="1" showInputMessage="1" showErrorMessage="1" errorTitle="INVALID ENTRY" error="You have entered a benefit amount that is not available.  Please select an amount from the drop down box, or see Comments for valid entries." sqref="K15">
      <formula1>"500,1000,1500,2000,2500,3000,3500,4000,4500,5000,6000,6500,7000,7500,8000,10000"</formula1>
    </dataValidation>
    <dataValidation type="list" allowBlank="1" showInputMessage="1" showErrorMessage="1" errorTitle="INVALID ENTRY" error="You have entered a benefit amount that is not available.  Please select an amount from the drop down box, or see Comments for valid entries." sqref="K16">
      <formula1>"200,250,500,750,1000,1250,1500,1750,2000,2250,2500"</formula1>
    </dataValidation>
    <dataValidation type="list" allowBlank="1" showInputMessage="1" showErrorMessage="1" errorTitle="INVALID ENTRY" error="You have entered a benefit amount that is not available.  Please select an amount from the drop down box, or see Comments for valid entries." sqref="K17">
      <formula1>"15,20"</formula1>
    </dataValidation>
    <dataValidation type="list" allowBlank="1" showInputMessage="1" showErrorMessage="1" errorTitle="INVALID ENTRY" error="You have entered a benefit amount that is not available.  Please select an amount from the drop down box, or see Comments for valid entries." sqref="K18">
      <formula1>"100,200,500"</formula1>
    </dataValidation>
    <dataValidation type="list" allowBlank="1" showInputMessage="1" showErrorMessage="1" sqref="R12">
      <formula1>"Yes,No"</formula1>
    </dataValidation>
    <dataValidation type="list" allowBlank="1" showInputMessage="1" showErrorMessage="1" error="Effective Date MUST be the 1st of a month." sqref="L8">
      <formula1>"1-Jan,,February 1,,March 1,,April 1,,May 1,,June 1,,July 1,,August 1,,September 1,,October 1,,November 1,,December 1,"</formula1>
    </dataValidation>
    <dataValidation type="list" allowBlank="1" showInputMessage="1" showErrorMessage="1" sqref="M8">
      <formula1>"2011,2012,2013,2014,2015,2016,2017,2018,2019,2020,2021,2022,2023,2024,2025"</formula1>
    </dataValidation>
    <dataValidation type="list" allowBlank="1" showInputMessage="1" showErrorMessage="1" errorTitle="INVALID ENTRY" error="You have entered a benefit amount that is not available.  Please select an amount from the drop down box, or see Comments for valid entries." sqref="K19">
      <formula1>"Generic,Generic/Brand"</formula1>
    </dataValidation>
    <dataValidation type="list" allowBlank="1" showInputMessage="1" showErrorMessage="1" errorTitle="INVALID ENTRY" error="You have entered a benefit amount that is not available.  Please select an amount from the drop down box, or see Comments for valid entries." sqref="K20">
      <formula1>"5000,10000,15000,20000"</formula1>
    </dataValidation>
    <dataValidation type="list" allowBlank="1" showInputMessage="1" showErrorMessage="1" sqref="Q25">
      <formula1>"Semi-Monthly, Bi-Weekly, Weekly"</formula1>
    </dataValidation>
  </dataValidations>
  <printOptions/>
  <pageMargins left="0.51" right="0.25" top="0.34" bottom="0.34" header="0" footer="0.38"/>
  <pageSetup horizontalDpi="600" verticalDpi="600" orientation="portrait" scale="75" r:id="rId4"/>
  <headerFooter differentOddEven="1" alignWithMargins="0">
    <oddFooter>&amp;L&amp;8All States Rater - OPI (v. 2013-09-01)&amp;C
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U756"/>
  <sheetViews>
    <sheetView zoomScalePageLayoutView="0" workbookViewId="0" topLeftCell="A1">
      <selection activeCell="N132" sqref="N132"/>
    </sheetView>
  </sheetViews>
  <sheetFormatPr defaultColWidth="9.140625" defaultRowHeight="12.75"/>
  <cols>
    <col min="2" max="2" width="10.421875" style="0" customWidth="1"/>
    <col min="3" max="3" width="2.57421875" style="0" customWidth="1"/>
  </cols>
  <sheetData>
    <row r="1" spans="1:21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2.75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2"/>
      <c r="U7" s="2"/>
    </row>
    <row r="8" spans="1:21" ht="12.75">
      <c r="A8" s="124"/>
      <c r="B8" s="124"/>
      <c r="C8" s="124"/>
      <c r="D8" s="205" t="s">
        <v>93</v>
      </c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"/>
      <c r="U8" s="2"/>
    </row>
    <row r="9" spans="1:21" ht="12.75">
      <c r="A9" s="124"/>
      <c r="B9" s="124"/>
      <c r="C9" s="124"/>
      <c r="D9" s="243" t="s">
        <v>94</v>
      </c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"/>
      <c r="U9" s="2"/>
    </row>
    <row r="10" spans="1:21" ht="12.75">
      <c r="A10" s="124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2"/>
      <c r="U10" s="2"/>
    </row>
    <row r="11" spans="1:21" ht="12.75">
      <c r="A11" s="125" t="str">
        <f>'OP1 Rater'!U24</f>
        <v>FLORIDA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2"/>
      <c r="U11" s="2"/>
    </row>
    <row r="12" spans="1:21" ht="6" customHeight="1">
      <c r="A12" s="40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2"/>
      <c r="U12" s="2"/>
    </row>
    <row r="13" spans="1:21" ht="12.75">
      <c r="A13" s="124"/>
      <c r="B13" s="124"/>
      <c r="C13" s="124"/>
      <c r="D13" s="126" t="str">
        <f>'OP1 Rater'!X28</f>
        <v>Insured with Attained Age Under 40</v>
      </c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2"/>
      <c r="U13" s="2"/>
    </row>
    <row r="14" spans="1:21" ht="6" customHeight="1">
      <c r="A14" s="124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2"/>
      <c r="U14" s="2"/>
    </row>
    <row r="15" spans="1:21" ht="12.75">
      <c r="A15" s="124"/>
      <c r="B15" s="124"/>
      <c r="C15" s="124"/>
      <c r="D15" s="244" t="s">
        <v>5</v>
      </c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"/>
      <c r="U15" s="2"/>
    </row>
    <row r="16" spans="1:21" ht="12.75">
      <c r="A16" s="124"/>
      <c r="B16" s="124"/>
      <c r="C16" s="124"/>
      <c r="D16" s="128">
        <f>'OP1 Rater'!X31</f>
        <v>500</v>
      </c>
      <c r="E16" s="128">
        <f>'OP1 Rater'!Y31</f>
        <v>1000</v>
      </c>
      <c r="F16" s="128">
        <f>'OP1 Rater'!Z31</f>
        <v>1500</v>
      </c>
      <c r="G16" s="128">
        <f>'OP1 Rater'!AA31</f>
        <v>2000</v>
      </c>
      <c r="H16" s="128">
        <f>'OP1 Rater'!AB31</f>
        <v>2500</v>
      </c>
      <c r="I16" s="128">
        <f>'OP1 Rater'!AC31</f>
        <v>3000</v>
      </c>
      <c r="J16" s="128">
        <f>'OP1 Rater'!AD31</f>
        <v>3500</v>
      </c>
      <c r="K16" s="128">
        <f>'OP1 Rater'!AE31</f>
        <v>4000</v>
      </c>
      <c r="L16" s="128">
        <f>'OP1 Rater'!AF31</f>
        <v>4500</v>
      </c>
      <c r="M16" s="128">
        <f>'OP1 Rater'!AG31</f>
        <v>5000</v>
      </c>
      <c r="N16" s="128">
        <f>'OP1 Rater'!AH31</f>
        <v>6000</v>
      </c>
      <c r="O16" s="128">
        <v>6500</v>
      </c>
      <c r="P16" s="128">
        <f>'OP1 Rater'!AJ31</f>
        <v>7000</v>
      </c>
      <c r="Q16" s="128">
        <f>'OP1 Rater'!AK31</f>
        <v>7500</v>
      </c>
      <c r="R16" s="128">
        <f>'OP1 Rater'!AL31</f>
        <v>8000</v>
      </c>
      <c r="S16" s="128">
        <f>'OP1 Rater'!AM31</f>
        <v>10000</v>
      </c>
      <c r="T16" s="2"/>
      <c r="U16" s="2"/>
    </row>
    <row r="17" spans="1:21" ht="12.75">
      <c r="A17" s="129" t="str">
        <f>'OP1 Rater'!U32</f>
        <v>Insured Only</v>
      </c>
      <c r="B17" s="130"/>
      <c r="C17" s="124"/>
      <c r="D17" s="131">
        <f>'OP1 Rater'!X32</f>
        <v>3.02</v>
      </c>
      <c r="E17" s="131">
        <f>'OP1 Rater'!Y32</f>
        <v>5.91</v>
      </c>
      <c r="F17" s="131">
        <f>'OP1 Rater'!Z32</f>
        <v>8.62</v>
      </c>
      <c r="G17" s="131">
        <f>'OP1 Rater'!AA32</f>
        <v>11.2</v>
      </c>
      <c r="H17" s="131">
        <f>'OP1 Rater'!AB32</f>
        <v>13.6</v>
      </c>
      <c r="I17" s="131">
        <f>'OP1 Rater'!AC32</f>
        <v>15.94</v>
      </c>
      <c r="J17" s="131">
        <f>'OP1 Rater'!AD32</f>
        <v>18.22</v>
      </c>
      <c r="K17" s="131">
        <f>'OP1 Rater'!AE32</f>
        <v>20.37</v>
      </c>
      <c r="L17" s="131">
        <f>'OP1 Rater'!AF32</f>
        <v>22.49</v>
      </c>
      <c r="M17" s="131">
        <f>'OP1 Rater'!AG32</f>
        <v>24.62</v>
      </c>
      <c r="N17" s="131">
        <f>'OP1 Rater'!AH32</f>
        <v>28.62</v>
      </c>
      <c r="O17" s="131">
        <f>'OP1 Rater'!AI32</f>
        <v>30.52</v>
      </c>
      <c r="P17" s="131">
        <f>'OP1 Rater'!AJ32</f>
        <v>32.43</v>
      </c>
      <c r="Q17" s="131">
        <f>'OP1 Rater'!AK32</f>
        <v>34.28</v>
      </c>
      <c r="R17" s="131">
        <f>'OP1 Rater'!AL32</f>
        <v>36.12</v>
      </c>
      <c r="S17" s="131">
        <f>'OP1 Rater'!AM32</f>
        <v>43.2</v>
      </c>
      <c r="T17" s="2"/>
      <c r="U17" s="2"/>
    </row>
    <row r="18" spans="1:21" ht="12.75">
      <c r="A18" s="132" t="str">
        <f>'OP1 Rater'!U33</f>
        <v>Insured Plus Spouse</v>
      </c>
      <c r="B18" s="133"/>
      <c r="C18" s="124"/>
      <c r="D18" s="131">
        <f>'OP1 Rater'!X33</f>
        <v>5.42</v>
      </c>
      <c r="E18" s="131">
        <f>'OP1 Rater'!Y33</f>
        <v>10.65</v>
      </c>
      <c r="F18" s="131">
        <f>'OP1 Rater'!Z33</f>
        <v>15.51</v>
      </c>
      <c r="G18" s="131">
        <f>'OP1 Rater'!AA33</f>
        <v>20.18</v>
      </c>
      <c r="H18" s="131">
        <f>'OP1 Rater'!AB33</f>
        <v>24.49</v>
      </c>
      <c r="I18" s="131">
        <f>'OP1 Rater'!AC33</f>
        <v>28.68</v>
      </c>
      <c r="J18" s="131">
        <f>'OP1 Rater'!AD33</f>
        <v>32.8</v>
      </c>
      <c r="K18" s="131">
        <f>'OP1 Rater'!AE33</f>
        <v>36.68</v>
      </c>
      <c r="L18" s="131">
        <f>'OP1 Rater'!AF33</f>
        <v>40.49</v>
      </c>
      <c r="M18" s="131">
        <f>'OP1 Rater'!AG33</f>
        <v>44.31</v>
      </c>
      <c r="N18" s="131">
        <f>'OP1 Rater'!AH33</f>
        <v>51.51</v>
      </c>
      <c r="O18" s="131">
        <f>'OP1 Rater'!AI33</f>
        <v>54.95</v>
      </c>
      <c r="P18" s="131">
        <f>'OP1 Rater'!AJ33</f>
        <v>58.4</v>
      </c>
      <c r="Q18" s="131">
        <f>'OP1 Rater'!AK33</f>
        <v>61.72</v>
      </c>
      <c r="R18" s="131">
        <f>'OP1 Rater'!AL33</f>
        <v>65.05</v>
      </c>
      <c r="S18" s="131">
        <f>'OP1 Rater'!AM33</f>
        <v>77.78</v>
      </c>
      <c r="T18" s="2"/>
      <c r="U18" s="2"/>
    </row>
    <row r="19" spans="1:21" ht="12.75">
      <c r="A19" s="132" t="str">
        <f>'OP1 Rater'!U34</f>
        <v>Insured Plus Children</v>
      </c>
      <c r="B19" s="133"/>
      <c r="C19" s="124"/>
      <c r="D19" s="131">
        <f>'OP1 Rater'!X34</f>
        <v>6.83</v>
      </c>
      <c r="E19" s="131">
        <f>'OP1 Rater'!Y34</f>
        <v>13.35</v>
      </c>
      <c r="F19" s="131">
        <f>'OP1 Rater'!Z34</f>
        <v>19.45</v>
      </c>
      <c r="G19" s="131">
        <f>'OP1 Rater'!AA34</f>
        <v>25.29</v>
      </c>
      <c r="H19" s="131">
        <f>'OP1 Rater'!AB34</f>
        <v>30.71</v>
      </c>
      <c r="I19" s="131">
        <f>'OP1 Rater'!AC34</f>
        <v>36</v>
      </c>
      <c r="J19" s="131">
        <f>'OP1 Rater'!AD34</f>
        <v>41.17</v>
      </c>
      <c r="K19" s="131">
        <f>'OP1 Rater'!AE34</f>
        <v>46.03</v>
      </c>
      <c r="L19" s="131">
        <f>'OP1 Rater'!AF34</f>
        <v>50.83</v>
      </c>
      <c r="M19" s="131">
        <f>'OP1 Rater'!AG34</f>
        <v>55.63</v>
      </c>
      <c r="N19" s="131">
        <f>'OP1 Rater'!AH34</f>
        <v>64.68</v>
      </c>
      <c r="O19" s="131">
        <f>'OP1 Rater'!AI34</f>
        <v>68.98</v>
      </c>
      <c r="P19" s="131">
        <f>'OP1 Rater'!AJ34</f>
        <v>73.29</v>
      </c>
      <c r="Q19" s="131">
        <f>'OP1 Rater'!AK34</f>
        <v>77.48</v>
      </c>
      <c r="R19" s="131">
        <f>'OP1 Rater'!AL34</f>
        <v>81.66</v>
      </c>
      <c r="S19" s="131">
        <f>'OP1 Rater'!AM34</f>
        <v>97.66</v>
      </c>
      <c r="T19" s="2"/>
      <c r="U19" s="2"/>
    </row>
    <row r="20" spans="1:21" ht="12.75">
      <c r="A20" s="134" t="str">
        <f>'OP1 Rater'!U35</f>
        <v>Insured Plus Family</v>
      </c>
      <c r="B20" s="135"/>
      <c r="C20" s="124"/>
      <c r="D20" s="131">
        <f>'OP1 Rater'!X35</f>
        <v>9.23</v>
      </c>
      <c r="E20" s="131">
        <f>'OP1 Rater'!Y35</f>
        <v>18.09</v>
      </c>
      <c r="F20" s="131">
        <f>'OP1 Rater'!Z35</f>
        <v>26.34</v>
      </c>
      <c r="G20" s="131">
        <f>'OP1 Rater'!AA35</f>
        <v>34.28</v>
      </c>
      <c r="H20" s="131">
        <f>'OP1 Rater'!AB35</f>
        <v>41.6</v>
      </c>
      <c r="I20" s="131">
        <f>'OP1 Rater'!AC35</f>
        <v>48.74</v>
      </c>
      <c r="J20" s="131">
        <f>'OP1 Rater'!AD35</f>
        <v>55.75</v>
      </c>
      <c r="K20" s="131">
        <f>'OP1 Rater'!AE35</f>
        <v>62.34</v>
      </c>
      <c r="L20" s="131">
        <f>'OP1 Rater'!AF35</f>
        <v>68.83</v>
      </c>
      <c r="M20" s="131">
        <f>'OP1 Rater'!AG35</f>
        <v>75.32</v>
      </c>
      <c r="N20" s="131">
        <f>'OP1 Rater'!AH35</f>
        <v>87.57</v>
      </c>
      <c r="O20" s="131">
        <f>'OP1 Rater'!AI35</f>
        <v>93.42</v>
      </c>
      <c r="P20" s="131">
        <f>'OP1 Rater'!AJ35</f>
        <v>99.26</v>
      </c>
      <c r="Q20" s="131">
        <f>'OP1 Rater'!AK35</f>
        <v>104.92</v>
      </c>
      <c r="R20" s="131">
        <f>'OP1 Rater'!AL35</f>
        <v>110.58</v>
      </c>
      <c r="S20" s="131">
        <f>'OP1 Rater'!AM35</f>
        <v>132.25</v>
      </c>
      <c r="T20" s="2"/>
      <c r="U20" s="2"/>
    </row>
    <row r="21" spans="1:21" ht="12.75">
      <c r="A21" s="124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2"/>
      <c r="U21" s="2"/>
    </row>
    <row r="22" spans="1:21" ht="12.75">
      <c r="A22" s="124"/>
      <c r="B22" s="124"/>
      <c r="C22" s="124"/>
      <c r="D22" s="126" t="str">
        <f>'OP1 Rater'!X38</f>
        <v>Insured with Attained Age 40 - 49</v>
      </c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2"/>
      <c r="U22" s="2"/>
    </row>
    <row r="23" spans="1:21" ht="6" customHeight="1">
      <c r="A23" s="124"/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2"/>
      <c r="U23" s="2"/>
    </row>
    <row r="24" spans="1:21" ht="12.75">
      <c r="A24" s="124"/>
      <c r="B24" s="124"/>
      <c r="C24" s="124"/>
      <c r="D24" s="244" t="s">
        <v>5</v>
      </c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"/>
      <c r="U24" s="2"/>
    </row>
    <row r="25" spans="1:21" ht="12.75">
      <c r="A25" s="124"/>
      <c r="B25" s="124"/>
      <c r="C25" s="124"/>
      <c r="D25" s="128">
        <f>'OP1 Rater'!X41</f>
        <v>500</v>
      </c>
      <c r="E25" s="128">
        <f>'OP1 Rater'!Y41</f>
        <v>1000</v>
      </c>
      <c r="F25" s="128">
        <f>'OP1 Rater'!Z41</f>
        <v>1500</v>
      </c>
      <c r="G25" s="128">
        <f>'OP1 Rater'!AA41</f>
        <v>2000</v>
      </c>
      <c r="H25" s="128">
        <f>'OP1 Rater'!AB41</f>
        <v>2500</v>
      </c>
      <c r="I25" s="128">
        <f>'OP1 Rater'!AC41</f>
        <v>3000</v>
      </c>
      <c r="J25" s="128">
        <f>'OP1 Rater'!AD41</f>
        <v>3500</v>
      </c>
      <c r="K25" s="128">
        <f>'OP1 Rater'!AE41</f>
        <v>4000</v>
      </c>
      <c r="L25" s="128">
        <f>'OP1 Rater'!AF41</f>
        <v>4500</v>
      </c>
      <c r="M25" s="128">
        <f>'OP1 Rater'!AG41</f>
        <v>5000</v>
      </c>
      <c r="N25" s="128">
        <f>'OP1 Rater'!AH41</f>
        <v>6000</v>
      </c>
      <c r="O25" s="128">
        <v>6500</v>
      </c>
      <c r="P25" s="128">
        <f>'OP1 Rater'!AJ41</f>
        <v>7000</v>
      </c>
      <c r="Q25" s="128">
        <f>'OP1 Rater'!AK41</f>
        <v>7500</v>
      </c>
      <c r="R25" s="128">
        <f>'OP1 Rater'!AL41</f>
        <v>8000</v>
      </c>
      <c r="S25" s="128">
        <f>'OP1 Rater'!AM41</f>
        <v>10000</v>
      </c>
      <c r="T25" s="2"/>
      <c r="U25" s="2"/>
    </row>
    <row r="26" spans="1:21" ht="12.75">
      <c r="A26" s="129" t="str">
        <f>'OP1 Rater'!U42</f>
        <v>Insured Only</v>
      </c>
      <c r="B26" s="130"/>
      <c r="C26" s="124"/>
      <c r="D26" s="131">
        <f>'OP1 Rater'!X42</f>
        <v>4.37</v>
      </c>
      <c r="E26" s="131">
        <f>'OP1 Rater'!Y42</f>
        <v>8.55</v>
      </c>
      <c r="F26" s="131">
        <f>'OP1 Rater'!Z42</f>
        <v>12.49</v>
      </c>
      <c r="G26" s="131">
        <f>'OP1 Rater'!AA42</f>
        <v>16.25</v>
      </c>
      <c r="H26" s="131">
        <f>'OP1 Rater'!AB42</f>
        <v>19.69</v>
      </c>
      <c r="I26" s="131">
        <f>'OP1 Rater'!AC42</f>
        <v>23.14</v>
      </c>
      <c r="J26" s="131">
        <f>'OP1 Rater'!AD42</f>
        <v>26.4</v>
      </c>
      <c r="K26" s="131">
        <f>'OP1 Rater'!AE42</f>
        <v>29.54</v>
      </c>
      <c r="L26" s="131">
        <f>'OP1 Rater'!AF42</f>
        <v>32.62</v>
      </c>
      <c r="M26" s="131">
        <f>'OP1 Rater'!AG42</f>
        <v>35.69</v>
      </c>
      <c r="N26" s="131">
        <f>'OP1 Rater'!AH42</f>
        <v>41.48</v>
      </c>
      <c r="O26" s="131">
        <f>'OP1 Rater'!AI42</f>
        <v>44.25</v>
      </c>
      <c r="P26" s="131">
        <f>'OP1 Rater'!AJ42</f>
        <v>47.02</v>
      </c>
      <c r="Q26" s="131">
        <f>'OP1 Rater'!AK42</f>
        <v>49.69</v>
      </c>
      <c r="R26" s="131">
        <f>'OP1 Rater'!AL42</f>
        <v>52.37</v>
      </c>
      <c r="S26" s="131">
        <f>'OP1 Rater'!AM42</f>
        <v>62.65</v>
      </c>
      <c r="T26" s="2"/>
      <c r="U26" s="2"/>
    </row>
    <row r="27" spans="1:21" ht="12.75">
      <c r="A27" s="132" t="str">
        <f>'OP1 Rater'!U43</f>
        <v>Insured Plus Spouse</v>
      </c>
      <c r="B27" s="133"/>
      <c r="C27" s="124"/>
      <c r="D27" s="131">
        <f>'OP1 Rater'!X43</f>
        <v>7.88</v>
      </c>
      <c r="E27" s="131">
        <f>'OP1 Rater'!Y43</f>
        <v>15.38</v>
      </c>
      <c r="F27" s="131">
        <f>'OP1 Rater'!Z43</f>
        <v>22.46</v>
      </c>
      <c r="G27" s="131">
        <f>'OP1 Rater'!AA43</f>
        <v>29.23</v>
      </c>
      <c r="H27" s="131">
        <f>'OP1 Rater'!AB43</f>
        <v>35.45</v>
      </c>
      <c r="I27" s="131">
        <f>'OP1 Rater'!AC43</f>
        <v>41.66</v>
      </c>
      <c r="J27" s="131">
        <f>'OP1 Rater'!AD43</f>
        <v>47.51</v>
      </c>
      <c r="K27" s="131">
        <f>'OP1 Rater'!AE43</f>
        <v>53.17</v>
      </c>
      <c r="L27" s="131">
        <f>'OP1 Rater'!AF43</f>
        <v>58.71</v>
      </c>
      <c r="M27" s="131">
        <f>'OP1 Rater'!AG43</f>
        <v>64.25</v>
      </c>
      <c r="N27" s="131">
        <f>'OP1 Rater'!AH43</f>
        <v>74.65</v>
      </c>
      <c r="O27" s="131">
        <f>'OP1 Rater'!AI43</f>
        <v>79.63</v>
      </c>
      <c r="P27" s="131">
        <f>'OP1 Rater'!AJ43</f>
        <v>84.62</v>
      </c>
      <c r="Q27" s="131">
        <f>'OP1 Rater'!AK43</f>
        <v>89.45</v>
      </c>
      <c r="R27" s="131">
        <f>'OP1 Rater'!AL43</f>
        <v>94.28</v>
      </c>
      <c r="S27" s="131">
        <f>'OP1 Rater'!AM43</f>
        <v>112.74</v>
      </c>
      <c r="T27" s="2"/>
      <c r="U27" s="2"/>
    </row>
    <row r="28" spans="1:21" ht="12.75">
      <c r="A28" s="132" t="str">
        <f>'OP1 Rater'!U44</f>
        <v>Insured Plus Children</v>
      </c>
      <c r="B28" s="133"/>
      <c r="C28" s="124"/>
      <c r="D28" s="131">
        <f>'OP1 Rater'!X44</f>
        <v>8.18</v>
      </c>
      <c r="E28" s="131">
        <f>'OP1 Rater'!Y44</f>
        <v>16</v>
      </c>
      <c r="F28" s="131">
        <f>'OP1 Rater'!Z44</f>
        <v>23.32</v>
      </c>
      <c r="G28" s="131">
        <f>'OP1 Rater'!AA44</f>
        <v>30.34</v>
      </c>
      <c r="H28" s="131">
        <f>'OP1 Rater'!AB44</f>
        <v>36.8</v>
      </c>
      <c r="I28" s="131">
        <f>'OP1 Rater'!AC44</f>
        <v>43.2</v>
      </c>
      <c r="J28" s="131">
        <f>'OP1 Rater'!AD44</f>
        <v>49.35</v>
      </c>
      <c r="K28" s="131">
        <f>'OP1 Rater'!AE44</f>
        <v>55.2</v>
      </c>
      <c r="L28" s="131">
        <f>'OP1 Rater'!AF44</f>
        <v>60.95</v>
      </c>
      <c r="M28" s="131">
        <f>'OP1 Rater'!AG44</f>
        <v>66.71</v>
      </c>
      <c r="N28" s="131">
        <f>'OP1 Rater'!AH44</f>
        <v>77.54</v>
      </c>
      <c r="O28" s="131">
        <f>'OP1 Rater'!AI44</f>
        <v>82.71</v>
      </c>
      <c r="P28" s="131">
        <f>'OP1 Rater'!AJ44</f>
        <v>87.88</v>
      </c>
      <c r="Q28" s="131">
        <f>'OP1 Rater'!AK44</f>
        <v>92.89</v>
      </c>
      <c r="R28" s="131">
        <f>'OP1 Rater'!AL44</f>
        <v>97.91</v>
      </c>
      <c r="S28" s="131">
        <f>'OP1 Rater'!AM44</f>
        <v>117.11</v>
      </c>
      <c r="T28" s="2"/>
      <c r="U28" s="2"/>
    </row>
    <row r="29" spans="1:21" ht="12.75">
      <c r="A29" s="134" t="str">
        <f>'OP1 Rater'!U45</f>
        <v>Insured Plus Family</v>
      </c>
      <c r="B29" s="135"/>
      <c r="C29" s="124"/>
      <c r="D29" s="131">
        <f>'OP1 Rater'!X45</f>
        <v>11.69</v>
      </c>
      <c r="E29" s="131">
        <f>'OP1 Rater'!Y45</f>
        <v>22.83</v>
      </c>
      <c r="F29" s="131">
        <f>'OP1 Rater'!Z45</f>
        <v>33.29</v>
      </c>
      <c r="G29" s="131">
        <f>'OP1 Rater'!AA45</f>
        <v>43.32</v>
      </c>
      <c r="H29" s="131">
        <f>'OP1 Rater'!AB45</f>
        <v>52.55</v>
      </c>
      <c r="I29" s="131">
        <f>'OP1 Rater'!AC45</f>
        <v>61.72</v>
      </c>
      <c r="J29" s="131">
        <f>'OP1 Rater'!AD45</f>
        <v>70.46</v>
      </c>
      <c r="K29" s="131">
        <f>'OP1 Rater'!AE45</f>
        <v>78.83</v>
      </c>
      <c r="L29" s="131">
        <f>'OP1 Rater'!AF45</f>
        <v>87.05</v>
      </c>
      <c r="M29" s="131">
        <f>'OP1 Rater'!AG45</f>
        <v>95.26</v>
      </c>
      <c r="N29" s="131">
        <f>'OP1 Rater'!AH45</f>
        <v>110.71</v>
      </c>
      <c r="O29" s="131">
        <f>'OP1 Rater'!AI45</f>
        <v>118.09</v>
      </c>
      <c r="P29" s="131">
        <f>'OP1 Rater'!AJ45</f>
        <v>125.48</v>
      </c>
      <c r="Q29" s="131">
        <f>'OP1 Rater'!AK45</f>
        <v>132.65</v>
      </c>
      <c r="R29" s="131">
        <f>'OP1 Rater'!AL45</f>
        <v>139.82</v>
      </c>
      <c r="S29" s="131">
        <f>'OP1 Rater'!AM45</f>
        <v>167.2</v>
      </c>
      <c r="T29" s="2"/>
      <c r="U29" s="2"/>
    </row>
    <row r="30" spans="1:21" ht="12.75">
      <c r="A30" s="124"/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2"/>
      <c r="U30" s="2"/>
    </row>
    <row r="31" spans="1:21" ht="12.75">
      <c r="A31" s="124"/>
      <c r="B31" s="124"/>
      <c r="C31" s="124"/>
      <c r="D31" s="126" t="str">
        <f>'OP1 Rater'!X48</f>
        <v>Insured with Attained Age 50+</v>
      </c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2"/>
      <c r="U31" s="2"/>
    </row>
    <row r="32" spans="1:21" ht="6" customHeight="1">
      <c r="A32" s="124"/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2"/>
      <c r="U32" s="2"/>
    </row>
    <row r="33" spans="1:21" ht="12.75">
      <c r="A33" s="124"/>
      <c r="B33" s="124"/>
      <c r="C33" s="124"/>
      <c r="D33" s="244" t="s">
        <v>5</v>
      </c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"/>
      <c r="U33" s="2"/>
    </row>
    <row r="34" spans="1:21" ht="12.75">
      <c r="A34" s="124"/>
      <c r="B34" s="124"/>
      <c r="C34" s="124"/>
      <c r="D34" s="128">
        <f>'OP1 Rater'!X51</f>
        <v>500</v>
      </c>
      <c r="E34" s="128">
        <f>'OP1 Rater'!Y51</f>
        <v>1000</v>
      </c>
      <c r="F34" s="128">
        <f>'OP1 Rater'!Z51</f>
        <v>1500</v>
      </c>
      <c r="G34" s="128">
        <f>'OP1 Rater'!AA51</f>
        <v>2000</v>
      </c>
      <c r="H34" s="128">
        <f>'OP1 Rater'!AB51</f>
        <v>2500</v>
      </c>
      <c r="I34" s="128">
        <f>'OP1 Rater'!AC51</f>
        <v>3000</v>
      </c>
      <c r="J34" s="128">
        <f>'OP1 Rater'!AD51</f>
        <v>3500</v>
      </c>
      <c r="K34" s="128">
        <f>'OP1 Rater'!AE51</f>
        <v>4000</v>
      </c>
      <c r="L34" s="128">
        <f>'OP1 Rater'!AF51</f>
        <v>4500</v>
      </c>
      <c r="M34" s="128">
        <f>'OP1 Rater'!AG51</f>
        <v>5000</v>
      </c>
      <c r="N34" s="128">
        <f>'OP1 Rater'!AH51</f>
        <v>6000</v>
      </c>
      <c r="O34" s="128">
        <v>6500</v>
      </c>
      <c r="P34" s="128">
        <f>'OP1 Rater'!AJ51</f>
        <v>7000</v>
      </c>
      <c r="Q34" s="128">
        <f>'OP1 Rater'!AK51</f>
        <v>7500</v>
      </c>
      <c r="R34" s="128">
        <f>'OP1 Rater'!AL51</f>
        <v>8000</v>
      </c>
      <c r="S34" s="128">
        <f>'OP1 Rater'!AM51</f>
        <v>10000</v>
      </c>
      <c r="T34" s="2"/>
      <c r="U34" s="2"/>
    </row>
    <row r="35" spans="1:21" ht="12.75">
      <c r="A35" s="129" t="str">
        <f>'OP1 Rater'!U52</f>
        <v>Insured Only</v>
      </c>
      <c r="B35" s="130"/>
      <c r="C35" s="124"/>
      <c r="D35" s="131">
        <f>'OP1 Rater'!X52</f>
        <v>5.91</v>
      </c>
      <c r="E35" s="131">
        <f>'OP1 Rater'!Y52</f>
        <v>11.51</v>
      </c>
      <c r="F35" s="131">
        <f>'OP1 Rater'!Z52</f>
        <v>16.8</v>
      </c>
      <c r="G35" s="131">
        <f>'OP1 Rater'!AA52</f>
        <v>21.85</v>
      </c>
      <c r="H35" s="131">
        <f>'OP1 Rater'!AB52</f>
        <v>26.52</v>
      </c>
      <c r="I35" s="131">
        <f>'OP1 Rater'!AC52</f>
        <v>31.08</v>
      </c>
      <c r="J35" s="131">
        <f>'OP1 Rater'!AD52</f>
        <v>35.51</v>
      </c>
      <c r="K35" s="131">
        <f>'OP1 Rater'!AE52</f>
        <v>39.69</v>
      </c>
      <c r="L35" s="131">
        <f>'OP1 Rater'!AF52</f>
        <v>43.85</v>
      </c>
      <c r="M35" s="131">
        <f>'OP1 Rater'!AG52</f>
        <v>48</v>
      </c>
      <c r="N35" s="131">
        <f>'OP1 Rater'!AH52</f>
        <v>55.82</v>
      </c>
      <c r="O35" s="131">
        <f>'OP1 Rater'!AI52</f>
        <v>59.54</v>
      </c>
      <c r="P35" s="131">
        <f>'OP1 Rater'!AJ52</f>
        <v>63.26</v>
      </c>
      <c r="Q35" s="131">
        <f>'OP1 Rater'!AK52</f>
        <v>66.86</v>
      </c>
      <c r="R35" s="131">
        <f>'OP1 Rater'!AL52</f>
        <v>70.46</v>
      </c>
      <c r="S35" s="131">
        <f>'OP1 Rater'!AM52</f>
        <v>84.25</v>
      </c>
      <c r="T35" s="2"/>
      <c r="U35" s="2"/>
    </row>
    <row r="36" spans="1:21" ht="12.75">
      <c r="A36" s="132" t="str">
        <f>'OP1 Rater'!U53</f>
        <v>Insured Plus Spouse</v>
      </c>
      <c r="B36" s="133"/>
      <c r="C36" s="124"/>
      <c r="D36" s="131">
        <f>'OP1 Rater'!X53</f>
        <v>10.65</v>
      </c>
      <c r="E36" s="131">
        <f>'OP1 Rater'!Y53</f>
        <v>20.74</v>
      </c>
      <c r="F36" s="131">
        <f>'OP1 Rater'!Z53</f>
        <v>30.22</v>
      </c>
      <c r="G36" s="131">
        <f>'OP1 Rater'!AA53</f>
        <v>39.32</v>
      </c>
      <c r="H36" s="131">
        <f>'OP1 Rater'!AB53</f>
        <v>47.75</v>
      </c>
      <c r="I36" s="131">
        <f>'OP1 Rater'!AC53</f>
        <v>55.94</v>
      </c>
      <c r="J36" s="131">
        <f>'OP1 Rater'!AD53</f>
        <v>63.94</v>
      </c>
      <c r="K36" s="131">
        <f>'OP1 Rater'!AE53</f>
        <v>71.45</v>
      </c>
      <c r="L36" s="131">
        <f>'OP1 Rater'!AF53</f>
        <v>78.92</v>
      </c>
      <c r="M36" s="131">
        <f>'OP1 Rater'!AG53</f>
        <v>86.4</v>
      </c>
      <c r="N36" s="131">
        <f>'OP1 Rater'!AH53</f>
        <v>100.49</v>
      </c>
      <c r="O36" s="131">
        <f>'OP1 Rater'!AI53</f>
        <v>107.17</v>
      </c>
      <c r="P36" s="131">
        <f>'OP1 Rater'!AJ53</f>
        <v>113.85</v>
      </c>
      <c r="Q36" s="131">
        <f>'OP1 Rater'!AK53</f>
        <v>120.34</v>
      </c>
      <c r="R36" s="131">
        <f>'OP1 Rater'!AL53</f>
        <v>126.83</v>
      </c>
      <c r="S36" s="131">
        <f>'OP1 Rater'!AM53</f>
        <v>151.63</v>
      </c>
      <c r="T36" s="2"/>
      <c r="U36" s="2"/>
    </row>
    <row r="37" spans="1:21" ht="12.75">
      <c r="A37" s="132" t="str">
        <f>'OP1 Rater'!U54</f>
        <v>Insured Plus Children</v>
      </c>
      <c r="B37" s="133"/>
      <c r="C37" s="124"/>
      <c r="D37" s="131">
        <f>'OP1 Rater'!X54</f>
        <v>9.72</v>
      </c>
      <c r="E37" s="131">
        <f>'OP1 Rater'!Y54</f>
        <v>18.95</v>
      </c>
      <c r="F37" s="131">
        <f>'OP1 Rater'!Z54</f>
        <v>27.63</v>
      </c>
      <c r="G37" s="131">
        <f>'OP1 Rater'!AA54</f>
        <v>35.94</v>
      </c>
      <c r="H37" s="131">
        <f>'OP1 Rater'!AB54</f>
        <v>43.63</v>
      </c>
      <c r="I37" s="131">
        <f>'OP1 Rater'!AC54</f>
        <v>51.14</v>
      </c>
      <c r="J37" s="131">
        <f>'OP1 Rater'!AD54</f>
        <v>58.46</v>
      </c>
      <c r="K37" s="131">
        <f>'OP1 Rater'!AE54</f>
        <v>65.35</v>
      </c>
      <c r="L37" s="131">
        <f>'OP1 Rater'!AF54</f>
        <v>72.18</v>
      </c>
      <c r="M37" s="131">
        <f>'OP1 Rater'!AG54</f>
        <v>79.02</v>
      </c>
      <c r="N37" s="131">
        <f>'OP1 Rater'!AH54</f>
        <v>91.88</v>
      </c>
      <c r="O37" s="131">
        <f>'OP1 Rater'!AI54</f>
        <v>98</v>
      </c>
      <c r="P37" s="131">
        <f>'OP1 Rater'!AJ54</f>
        <v>104.12</v>
      </c>
      <c r="Q37" s="131">
        <f>'OP1 Rater'!AK54</f>
        <v>110.06</v>
      </c>
      <c r="R37" s="131">
        <f>'OP1 Rater'!AL54</f>
        <v>116</v>
      </c>
      <c r="S37" s="131">
        <f>'OP1 Rater'!AM54</f>
        <v>138.71</v>
      </c>
      <c r="T37" s="2"/>
      <c r="U37" s="2"/>
    </row>
    <row r="38" spans="1:21" ht="12.75">
      <c r="A38" s="134" t="str">
        <f>'OP1 Rater'!U55</f>
        <v>Insured Plus Family</v>
      </c>
      <c r="B38" s="135"/>
      <c r="C38" s="124"/>
      <c r="D38" s="131">
        <f>'OP1 Rater'!X55</f>
        <v>14.46</v>
      </c>
      <c r="E38" s="131">
        <f>'OP1 Rater'!Y55</f>
        <v>28.18</v>
      </c>
      <c r="F38" s="131">
        <f>'OP1 Rater'!Z55</f>
        <v>41.05</v>
      </c>
      <c r="G38" s="131">
        <f>'OP1 Rater'!AA55</f>
        <v>53.42</v>
      </c>
      <c r="H38" s="131">
        <f>'OP1 Rater'!AB55</f>
        <v>64.86</v>
      </c>
      <c r="I38" s="131">
        <f>'OP1 Rater'!AC55</f>
        <v>76</v>
      </c>
      <c r="J38" s="131">
        <f>'OP1 Rater'!AD55</f>
        <v>86.89</v>
      </c>
      <c r="K38" s="131">
        <f>'OP1 Rater'!AE55</f>
        <v>97.11</v>
      </c>
      <c r="L38" s="131">
        <f>'OP1 Rater'!AF55</f>
        <v>107.26</v>
      </c>
      <c r="M38" s="131">
        <f>'OP1 Rater'!AG55</f>
        <v>117.42</v>
      </c>
      <c r="N38" s="131">
        <f>'OP1 Rater'!AH55</f>
        <v>136.55</v>
      </c>
      <c r="O38" s="131">
        <f>'OP1 Rater'!AI55</f>
        <v>145.63</v>
      </c>
      <c r="P38" s="131">
        <f>'OP1 Rater'!AJ55</f>
        <v>154.71</v>
      </c>
      <c r="Q38" s="131">
        <f>'OP1 Rater'!AK55</f>
        <v>163.54</v>
      </c>
      <c r="R38" s="131">
        <f>'OP1 Rater'!AL55</f>
        <v>172.37</v>
      </c>
      <c r="S38" s="131">
        <f>'OP1 Rater'!AM55</f>
        <v>206.09</v>
      </c>
      <c r="T38" s="2"/>
      <c r="U38" s="2"/>
    </row>
    <row r="39" spans="1:21" ht="12.75">
      <c r="A39" s="124"/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2"/>
      <c r="U39" s="2"/>
    </row>
    <row r="40" spans="1:21" ht="12.75">
      <c r="A40" s="124"/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2"/>
      <c r="U40" s="2"/>
    </row>
    <row r="41" spans="1:21" ht="12.75">
      <c r="A41" s="125" t="str">
        <f>'OP1 Rater'!BX24</f>
        <v>COLORADO &amp; INDIANA</v>
      </c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2"/>
      <c r="U41" s="2"/>
    </row>
    <row r="42" spans="1:21" ht="6" customHeight="1">
      <c r="A42" s="124"/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2"/>
      <c r="U42" s="2"/>
    </row>
    <row r="43" spans="1:21" ht="12.75" customHeight="1">
      <c r="A43" s="124"/>
      <c r="B43" s="124"/>
      <c r="C43" s="124"/>
      <c r="D43" s="126" t="str">
        <f>'OP1 Rater'!CA28</f>
        <v>Insured with Attained Age Under 40</v>
      </c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2"/>
      <c r="U43" s="2"/>
    </row>
    <row r="44" spans="1:21" ht="6" customHeight="1">
      <c r="A44" s="124"/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2"/>
      <c r="U44" s="2"/>
    </row>
    <row r="45" spans="1:21" ht="12.75" customHeight="1">
      <c r="A45" s="124"/>
      <c r="B45" s="124"/>
      <c r="C45" s="124"/>
      <c r="D45" s="244" t="s">
        <v>5</v>
      </c>
      <c r="E45" s="244"/>
      <c r="F45" s="244"/>
      <c r="G45" s="244"/>
      <c r="H45" s="244"/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"/>
      <c r="U45" s="2"/>
    </row>
    <row r="46" spans="1:21" ht="12.75">
      <c r="A46" s="40"/>
      <c r="B46" s="124"/>
      <c r="C46" s="124"/>
      <c r="D46" s="128">
        <f>'OP1 Rater'!CA31</f>
        <v>500</v>
      </c>
      <c r="E46" s="128">
        <f>'OP1 Rater'!CB31</f>
        <v>1000</v>
      </c>
      <c r="F46" s="128">
        <f>'OP1 Rater'!CC31</f>
        <v>1500</v>
      </c>
      <c r="G46" s="128">
        <f>'OP1 Rater'!CD31</f>
        <v>2000</v>
      </c>
      <c r="H46" s="128">
        <f>'OP1 Rater'!CE31</f>
        <v>2500</v>
      </c>
      <c r="I46" s="128">
        <f>'OP1 Rater'!CF31</f>
        <v>3000</v>
      </c>
      <c r="J46" s="128">
        <f>'OP1 Rater'!CG31</f>
        <v>3500</v>
      </c>
      <c r="K46" s="128">
        <f>'OP1 Rater'!CH31</f>
        <v>4000</v>
      </c>
      <c r="L46" s="128">
        <f>'OP1 Rater'!CI31</f>
        <v>4500</v>
      </c>
      <c r="M46" s="128">
        <f>'OP1 Rater'!CJ31</f>
        <v>5000</v>
      </c>
      <c r="N46" s="128">
        <f>'OP1 Rater'!CK31</f>
        <v>6000</v>
      </c>
      <c r="O46" s="128">
        <v>6500</v>
      </c>
      <c r="P46" s="128">
        <f>'OP1 Rater'!CM31</f>
        <v>7000</v>
      </c>
      <c r="Q46" s="128">
        <f>'OP1 Rater'!CN31</f>
        <v>7500</v>
      </c>
      <c r="R46" s="128">
        <f>'OP1 Rater'!CO31</f>
        <v>8000</v>
      </c>
      <c r="S46" s="128">
        <f>'OP1 Rater'!CP31</f>
        <v>10000</v>
      </c>
      <c r="T46" s="2"/>
      <c r="U46" s="2"/>
    </row>
    <row r="47" spans="1:21" ht="12.75">
      <c r="A47" s="129" t="str">
        <f>'OP1 Rater'!BX32</f>
        <v>Insured Only</v>
      </c>
      <c r="B47" s="130"/>
      <c r="C47" s="124"/>
      <c r="D47" s="131">
        <f>'OP1 Rater'!CA32</f>
        <v>3.27</v>
      </c>
      <c r="E47" s="131">
        <f>'OP1 Rater'!CB32</f>
        <v>6.4</v>
      </c>
      <c r="F47" s="131">
        <f>'OP1 Rater'!CC32</f>
        <v>9.33</v>
      </c>
      <c r="G47" s="131">
        <f>'OP1 Rater'!CD32</f>
        <v>12.13</v>
      </c>
      <c r="H47" s="131">
        <f>'OP1 Rater'!CE32</f>
        <v>14.73</v>
      </c>
      <c r="I47" s="131">
        <f>'OP1 Rater'!CF32</f>
        <v>17.27</v>
      </c>
      <c r="J47" s="131">
        <f>'OP1 Rater'!CG32</f>
        <v>19.73</v>
      </c>
      <c r="K47" s="131">
        <f>'OP1 Rater'!CH32</f>
        <v>22.07</v>
      </c>
      <c r="L47" s="131">
        <f>'OP1 Rater'!CI32</f>
        <v>24.37</v>
      </c>
      <c r="M47" s="131">
        <f>'OP1 Rater'!CJ32</f>
        <v>26.67</v>
      </c>
      <c r="N47" s="131">
        <f>'OP1 Rater'!CK32</f>
        <v>31</v>
      </c>
      <c r="O47" s="131">
        <f>'OP1 Rater'!CL32</f>
        <v>33.07</v>
      </c>
      <c r="P47" s="131">
        <f>'OP1 Rater'!CM32</f>
        <v>35.13</v>
      </c>
      <c r="Q47" s="131">
        <f>'OP1 Rater'!CN32</f>
        <v>37.13</v>
      </c>
      <c r="R47" s="131">
        <f>'OP1 Rater'!CO32</f>
        <v>39.13</v>
      </c>
      <c r="S47" s="131">
        <f>'OP1 Rater'!CP32</f>
        <v>46.8</v>
      </c>
      <c r="T47" s="2"/>
      <c r="U47" s="2"/>
    </row>
    <row r="48" spans="1:21" ht="12.75">
      <c r="A48" s="132" t="str">
        <f>'OP1 Rater'!BX33</f>
        <v>Insured Plus Spouse</v>
      </c>
      <c r="B48" s="133"/>
      <c r="C48" s="124"/>
      <c r="D48" s="131">
        <f>'OP1 Rater'!CA33</f>
        <v>5.87</v>
      </c>
      <c r="E48" s="131">
        <f>'OP1 Rater'!CB33</f>
        <v>11.53</v>
      </c>
      <c r="F48" s="131">
        <f>'OP1 Rater'!CC33</f>
        <v>16.8</v>
      </c>
      <c r="G48" s="131">
        <f>'OP1 Rater'!CD33</f>
        <v>21.87</v>
      </c>
      <c r="H48" s="131">
        <f>'OP1 Rater'!CE33</f>
        <v>26.53</v>
      </c>
      <c r="I48" s="131">
        <f>'OP1 Rater'!CF33</f>
        <v>31.07</v>
      </c>
      <c r="J48" s="131">
        <f>'OP1 Rater'!CG33</f>
        <v>35.53</v>
      </c>
      <c r="K48" s="131">
        <f>'OP1 Rater'!CH33</f>
        <v>39.73</v>
      </c>
      <c r="L48" s="131">
        <f>'OP1 Rater'!CI33</f>
        <v>43.87</v>
      </c>
      <c r="M48" s="131">
        <f>'OP1 Rater'!CJ33</f>
        <v>48</v>
      </c>
      <c r="N48" s="131">
        <f>'OP1 Rater'!CK33</f>
        <v>55.8</v>
      </c>
      <c r="O48" s="131">
        <f>'OP1 Rater'!CL33</f>
        <v>59.53</v>
      </c>
      <c r="P48" s="131">
        <f>'OP1 Rater'!CM33</f>
        <v>63.27</v>
      </c>
      <c r="Q48" s="131">
        <f>'OP1 Rater'!CN33</f>
        <v>66.87</v>
      </c>
      <c r="R48" s="131">
        <f>'OP1 Rater'!CO33</f>
        <v>70.47</v>
      </c>
      <c r="S48" s="131">
        <f>'OP1 Rater'!CP33</f>
        <v>84.27</v>
      </c>
      <c r="T48" s="2"/>
      <c r="U48" s="2"/>
    </row>
    <row r="49" spans="1:21" ht="12.75">
      <c r="A49" s="132" t="str">
        <f>'OP1 Rater'!BX34</f>
        <v>Insured Plus Children</v>
      </c>
      <c r="B49" s="133"/>
      <c r="C49" s="124"/>
      <c r="D49" s="131">
        <f>'OP1 Rater'!CA34</f>
        <v>7.4</v>
      </c>
      <c r="E49" s="131">
        <f>'OP1 Rater'!CB34</f>
        <v>14.47</v>
      </c>
      <c r="F49" s="131">
        <f>'OP1 Rater'!CC34</f>
        <v>21.07</v>
      </c>
      <c r="G49" s="131">
        <f>'OP1 Rater'!CD34</f>
        <v>27.4</v>
      </c>
      <c r="H49" s="131">
        <f>'OP1 Rater'!CE34</f>
        <v>33.27</v>
      </c>
      <c r="I49" s="131">
        <f>'OP1 Rater'!CF34</f>
        <v>39</v>
      </c>
      <c r="J49" s="131">
        <f>'OP1 Rater'!CG34</f>
        <v>44.6</v>
      </c>
      <c r="K49" s="131">
        <f>'OP1 Rater'!CH34</f>
        <v>49.87</v>
      </c>
      <c r="L49" s="131">
        <f>'OP1 Rater'!CI34</f>
        <v>55.07</v>
      </c>
      <c r="M49" s="131">
        <f>'OP1 Rater'!CJ34</f>
        <v>60.27</v>
      </c>
      <c r="N49" s="131">
        <f>'OP1 Rater'!CK34</f>
        <v>70.07</v>
      </c>
      <c r="O49" s="131">
        <f>'OP1 Rater'!CL34</f>
        <v>74.73</v>
      </c>
      <c r="P49" s="131">
        <f>'OP1 Rater'!CM34</f>
        <v>79.4</v>
      </c>
      <c r="Q49" s="131">
        <f>'OP1 Rater'!CN34</f>
        <v>83.93</v>
      </c>
      <c r="R49" s="131">
        <f>'OP1 Rater'!CO34</f>
        <v>88.47</v>
      </c>
      <c r="S49" s="131">
        <f>'OP1 Rater'!CP34</f>
        <v>105.8</v>
      </c>
      <c r="T49" s="2"/>
      <c r="U49" s="2"/>
    </row>
    <row r="50" spans="1:21" ht="12.75">
      <c r="A50" s="134" t="str">
        <f>'OP1 Rater'!BX35</f>
        <v>Insured Plus Family</v>
      </c>
      <c r="B50" s="135"/>
      <c r="C50" s="124"/>
      <c r="D50" s="131">
        <f>'OP1 Rater'!CA35</f>
        <v>10</v>
      </c>
      <c r="E50" s="131">
        <f>'OP1 Rater'!CB35</f>
        <v>19.6</v>
      </c>
      <c r="F50" s="131">
        <f>'OP1 Rater'!CC35</f>
        <v>28.53</v>
      </c>
      <c r="G50" s="131">
        <f>'OP1 Rater'!CD35</f>
        <v>37.13</v>
      </c>
      <c r="H50" s="131">
        <f>'OP1 Rater'!CE35</f>
        <v>45.07</v>
      </c>
      <c r="I50" s="131">
        <f>'OP1 Rater'!CF35</f>
        <v>52.8</v>
      </c>
      <c r="J50" s="131">
        <f>'OP1 Rater'!CG35</f>
        <v>60.4</v>
      </c>
      <c r="K50" s="131">
        <f>'OP1 Rater'!CH35</f>
        <v>67.53</v>
      </c>
      <c r="L50" s="131">
        <f>'OP1 Rater'!CI35</f>
        <v>74.57</v>
      </c>
      <c r="M50" s="131">
        <f>'OP1 Rater'!CJ35</f>
        <v>81.6</v>
      </c>
      <c r="N50" s="131">
        <f>'OP1 Rater'!CK35</f>
        <v>94.87</v>
      </c>
      <c r="O50" s="131">
        <f>'OP1 Rater'!CL35</f>
        <v>101.2</v>
      </c>
      <c r="P50" s="131">
        <f>'OP1 Rater'!CM35</f>
        <v>107.53</v>
      </c>
      <c r="Q50" s="131">
        <f>'OP1 Rater'!CN35</f>
        <v>113.67</v>
      </c>
      <c r="R50" s="131">
        <f>'OP1 Rater'!CO35</f>
        <v>119.8</v>
      </c>
      <c r="S50" s="131">
        <f>'OP1 Rater'!CP35</f>
        <v>143.27</v>
      </c>
      <c r="T50" s="2"/>
      <c r="U50" s="2"/>
    </row>
    <row r="51" spans="1:21" ht="12.75">
      <c r="A51" s="124"/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2"/>
      <c r="U51" s="2"/>
    </row>
    <row r="52" spans="1:21" ht="12.75">
      <c r="A52" s="124"/>
      <c r="B52" s="124"/>
      <c r="C52" s="124"/>
      <c r="D52" s="126" t="str">
        <f>'OP1 Rater'!CA38</f>
        <v>Insured with Attained Age 40 - 49</v>
      </c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2"/>
      <c r="U52" s="2"/>
    </row>
    <row r="53" spans="1:21" ht="6" customHeight="1">
      <c r="A53" s="124"/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2"/>
      <c r="U53" s="2"/>
    </row>
    <row r="54" spans="1:21" ht="12.75">
      <c r="A54" s="124"/>
      <c r="B54" s="124"/>
      <c r="C54" s="124"/>
      <c r="D54" s="244" t="s">
        <v>5</v>
      </c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"/>
      <c r="U54" s="2"/>
    </row>
    <row r="55" spans="1:21" ht="12.75">
      <c r="A55" s="40"/>
      <c r="B55" s="124"/>
      <c r="C55" s="124"/>
      <c r="D55" s="128">
        <f>'OP1 Rater'!CA41</f>
        <v>500</v>
      </c>
      <c r="E55" s="128">
        <f>'OP1 Rater'!CB41</f>
        <v>1000</v>
      </c>
      <c r="F55" s="128">
        <f>'OP1 Rater'!CC41</f>
        <v>1500</v>
      </c>
      <c r="G55" s="128">
        <f>'OP1 Rater'!CD41</f>
        <v>2000</v>
      </c>
      <c r="H55" s="128">
        <f>'OP1 Rater'!CE41</f>
        <v>2500</v>
      </c>
      <c r="I55" s="128">
        <f>'OP1 Rater'!CF41</f>
        <v>3000</v>
      </c>
      <c r="J55" s="128">
        <f>'OP1 Rater'!CG41</f>
        <v>3500</v>
      </c>
      <c r="K55" s="128">
        <f>'OP1 Rater'!CH41</f>
        <v>4000</v>
      </c>
      <c r="L55" s="128">
        <f>'OP1 Rater'!CI41</f>
        <v>4500</v>
      </c>
      <c r="M55" s="128">
        <f>'OP1 Rater'!CJ41</f>
        <v>5000</v>
      </c>
      <c r="N55" s="128">
        <f>'OP1 Rater'!CK41</f>
        <v>6000</v>
      </c>
      <c r="O55" s="128">
        <v>6500</v>
      </c>
      <c r="P55" s="128">
        <f>'OP1 Rater'!CM41</f>
        <v>7000</v>
      </c>
      <c r="Q55" s="128">
        <f>'OP1 Rater'!CN41</f>
        <v>7500</v>
      </c>
      <c r="R55" s="128">
        <f>'OP1 Rater'!CO41</f>
        <v>8000</v>
      </c>
      <c r="S55" s="128">
        <f>'OP1 Rater'!CP41</f>
        <v>10000</v>
      </c>
      <c r="T55" s="2"/>
      <c r="U55" s="2"/>
    </row>
    <row r="56" spans="1:21" ht="12.75">
      <c r="A56" s="129" t="str">
        <f>'OP1 Rater'!BX42</f>
        <v>Insured Only</v>
      </c>
      <c r="B56" s="130"/>
      <c r="C56" s="124"/>
      <c r="D56" s="131">
        <f>'OP1 Rater'!CA42</f>
        <v>4.73</v>
      </c>
      <c r="E56" s="131">
        <f>'OP1 Rater'!CB42</f>
        <v>9.27</v>
      </c>
      <c r="F56" s="131">
        <f>'OP1 Rater'!CC42</f>
        <v>13.53</v>
      </c>
      <c r="G56" s="131">
        <f>'OP1 Rater'!CD42</f>
        <v>17.6</v>
      </c>
      <c r="H56" s="131">
        <f>'OP1 Rater'!CE42</f>
        <v>21.33</v>
      </c>
      <c r="I56" s="131">
        <f>'OP1 Rater'!CF42</f>
        <v>25.07</v>
      </c>
      <c r="J56" s="131">
        <f>'OP1 Rater'!CG42</f>
        <v>28.6</v>
      </c>
      <c r="K56" s="131">
        <f>'OP1 Rater'!CH42</f>
        <v>32</v>
      </c>
      <c r="L56" s="131">
        <f>'OP1 Rater'!CI42</f>
        <v>35.33</v>
      </c>
      <c r="M56" s="131">
        <f>'OP1 Rater'!CJ42</f>
        <v>38.67</v>
      </c>
      <c r="N56" s="131">
        <f>'OP1 Rater'!CK42</f>
        <v>44.93</v>
      </c>
      <c r="O56" s="131">
        <f>'OP1 Rater'!CL42</f>
        <v>47.93</v>
      </c>
      <c r="P56" s="131">
        <f>'OP1 Rater'!CM42</f>
        <v>50.93</v>
      </c>
      <c r="Q56" s="131">
        <f>'OP1 Rater'!CN42</f>
        <v>53.83</v>
      </c>
      <c r="R56" s="131">
        <f>'OP1 Rater'!CO42</f>
        <v>56.73</v>
      </c>
      <c r="S56" s="131">
        <f>'OP1 Rater'!CP42</f>
        <v>67.87</v>
      </c>
      <c r="T56" s="2"/>
      <c r="U56" s="2"/>
    </row>
    <row r="57" spans="1:21" ht="12.75">
      <c r="A57" s="132" t="str">
        <f>'OP1 Rater'!BX43</f>
        <v>Insured Plus Spouse</v>
      </c>
      <c r="B57" s="133"/>
      <c r="C57" s="124"/>
      <c r="D57" s="131">
        <f>'OP1 Rater'!CA43</f>
        <v>8.53</v>
      </c>
      <c r="E57" s="131">
        <f>'OP1 Rater'!CB43</f>
        <v>16.67</v>
      </c>
      <c r="F57" s="131">
        <f>'OP1 Rater'!CC43</f>
        <v>24.33</v>
      </c>
      <c r="G57" s="131">
        <f>'OP1 Rater'!CD43</f>
        <v>31.67</v>
      </c>
      <c r="H57" s="131">
        <f>'OP1 Rater'!CE43</f>
        <v>38.4</v>
      </c>
      <c r="I57" s="131">
        <f>'OP1 Rater'!CF43</f>
        <v>45.13</v>
      </c>
      <c r="J57" s="131">
        <f>'OP1 Rater'!CG43</f>
        <v>51.47</v>
      </c>
      <c r="K57" s="131">
        <f>'OP1 Rater'!CH43</f>
        <v>57.6</v>
      </c>
      <c r="L57" s="131">
        <f>'OP1 Rater'!CI43</f>
        <v>63.6</v>
      </c>
      <c r="M57" s="131">
        <f>'OP1 Rater'!CJ43</f>
        <v>69.6</v>
      </c>
      <c r="N57" s="131">
        <f>'OP1 Rater'!CK43</f>
        <v>80.87</v>
      </c>
      <c r="O57" s="131">
        <f>'OP1 Rater'!CL43</f>
        <v>86.27</v>
      </c>
      <c r="P57" s="131">
        <f>'OP1 Rater'!CM43</f>
        <v>91.67</v>
      </c>
      <c r="Q57" s="131">
        <f>'OP1 Rater'!CN43</f>
        <v>96.9</v>
      </c>
      <c r="R57" s="131">
        <f>'OP1 Rater'!CO43</f>
        <v>102.13</v>
      </c>
      <c r="S57" s="131">
        <f>'OP1 Rater'!CP43</f>
        <v>122.13</v>
      </c>
      <c r="T57" s="2"/>
      <c r="U57" s="2"/>
    </row>
    <row r="58" spans="1:21" ht="12.75">
      <c r="A58" s="132" t="str">
        <f>'OP1 Rater'!BX44</f>
        <v>Insured Plus Children</v>
      </c>
      <c r="B58" s="133"/>
      <c r="C58" s="124"/>
      <c r="D58" s="131">
        <f>'OP1 Rater'!CA44</f>
        <v>8.87</v>
      </c>
      <c r="E58" s="131">
        <f>'OP1 Rater'!CB44</f>
        <v>17.33</v>
      </c>
      <c r="F58" s="131">
        <f>'OP1 Rater'!CC44</f>
        <v>25.27</v>
      </c>
      <c r="G58" s="131">
        <f>'OP1 Rater'!CD44</f>
        <v>32.87</v>
      </c>
      <c r="H58" s="131">
        <f>'OP1 Rater'!CE44</f>
        <v>39.87</v>
      </c>
      <c r="I58" s="131">
        <f>'OP1 Rater'!CF44</f>
        <v>46.8</v>
      </c>
      <c r="J58" s="131">
        <f>'OP1 Rater'!CG44</f>
        <v>53.47</v>
      </c>
      <c r="K58" s="131">
        <f>'OP1 Rater'!CH44</f>
        <v>59.8</v>
      </c>
      <c r="L58" s="131">
        <f>'OP1 Rater'!CI44</f>
        <v>66.03</v>
      </c>
      <c r="M58" s="131">
        <f>'OP1 Rater'!CJ44</f>
        <v>72.27</v>
      </c>
      <c r="N58" s="131">
        <f>'OP1 Rater'!CK44</f>
        <v>84</v>
      </c>
      <c r="O58" s="131">
        <f>'OP1 Rater'!CL44</f>
        <v>89.6</v>
      </c>
      <c r="P58" s="131">
        <f>'OP1 Rater'!CM44</f>
        <v>95.2</v>
      </c>
      <c r="Q58" s="131">
        <f>'OP1 Rater'!CN44</f>
        <v>100.63</v>
      </c>
      <c r="R58" s="131">
        <f>'OP1 Rater'!CO44</f>
        <v>106.07</v>
      </c>
      <c r="S58" s="131">
        <f>'OP1 Rater'!CP44</f>
        <v>126.87</v>
      </c>
      <c r="T58" s="2"/>
      <c r="U58" s="2"/>
    </row>
    <row r="59" spans="1:21" ht="12.75">
      <c r="A59" s="134" t="str">
        <f>'OP1 Rater'!BX45</f>
        <v>Insured Plus Family</v>
      </c>
      <c r="B59" s="135"/>
      <c r="C59" s="124"/>
      <c r="D59" s="131">
        <f>'OP1 Rater'!CA45</f>
        <v>12.67</v>
      </c>
      <c r="E59" s="131">
        <f>'OP1 Rater'!CB45</f>
        <v>24.73</v>
      </c>
      <c r="F59" s="131">
        <f>'OP1 Rater'!CC45</f>
        <v>36.07</v>
      </c>
      <c r="G59" s="131">
        <f>'OP1 Rater'!CD45</f>
        <v>46.93</v>
      </c>
      <c r="H59" s="131">
        <f>'OP1 Rater'!CE45</f>
        <v>56.93</v>
      </c>
      <c r="I59" s="131">
        <f>'OP1 Rater'!CF45</f>
        <v>66.87</v>
      </c>
      <c r="J59" s="131">
        <f>'OP1 Rater'!CG45</f>
        <v>76.33</v>
      </c>
      <c r="K59" s="131">
        <f>'OP1 Rater'!CH45</f>
        <v>85.4</v>
      </c>
      <c r="L59" s="131">
        <f>'OP1 Rater'!CI45</f>
        <v>94.3</v>
      </c>
      <c r="M59" s="131">
        <f>'OP1 Rater'!CJ45</f>
        <v>103.2</v>
      </c>
      <c r="N59" s="131">
        <f>'OP1 Rater'!CK45</f>
        <v>119.93</v>
      </c>
      <c r="O59" s="131">
        <f>'OP1 Rater'!CL45</f>
        <v>127.93</v>
      </c>
      <c r="P59" s="131">
        <f>'OP1 Rater'!CM45</f>
        <v>135.93</v>
      </c>
      <c r="Q59" s="131">
        <f>'OP1 Rater'!CN45</f>
        <v>143.7</v>
      </c>
      <c r="R59" s="131">
        <f>'OP1 Rater'!CO45</f>
        <v>151.47</v>
      </c>
      <c r="S59" s="131">
        <f>'OP1 Rater'!CP45</f>
        <v>181.13</v>
      </c>
      <c r="T59" s="2"/>
      <c r="U59" s="2"/>
    </row>
    <row r="60" spans="1:21" ht="12.75">
      <c r="A60" s="124"/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2"/>
      <c r="U60" s="2"/>
    </row>
    <row r="61" spans="1:21" ht="12.75">
      <c r="A61" s="124"/>
      <c r="B61" s="124"/>
      <c r="C61" s="124"/>
      <c r="D61" s="126" t="str">
        <f>'OP1 Rater'!CA48</f>
        <v>Insured with Attained Age 50+</v>
      </c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2"/>
      <c r="U61" s="2"/>
    </row>
    <row r="62" spans="1:21" ht="6" customHeight="1">
      <c r="A62" s="12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2"/>
      <c r="U62" s="2"/>
    </row>
    <row r="63" spans="1:21" ht="12.75">
      <c r="A63" s="124"/>
      <c r="B63" s="124"/>
      <c r="C63" s="124"/>
      <c r="D63" s="244" t="s">
        <v>5</v>
      </c>
      <c r="E63" s="244"/>
      <c r="F63" s="244"/>
      <c r="G63" s="244"/>
      <c r="H63" s="244"/>
      <c r="I63" s="244"/>
      <c r="J63" s="244"/>
      <c r="K63" s="244"/>
      <c r="L63" s="244"/>
      <c r="M63" s="244"/>
      <c r="N63" s="244"/>
      <c r="O63" s="244"/>
      <c r="P63" s="244"/>
      <c r="Q63" s="244"/>
      <c r="R63" s="244"/>
      <c r="S63" s="244"/>
      <c r="T63" s="2"/>
      <c r="U63" s="2"/>
    </row>
    <row r="64" spans="1:21" ht="12.75">
      <c r="A64" s="40"/>
      <c r="B64" s="124"/>
      <c r="C64" s="124"/>
      <c r="D64" s="128">
        <f>'OP1 Rater'!CA51</f>
        <v>500</v>
      </c>
      <c r="E64" s="128">
        <f>'OP1 Rater'!CB51</f>
        <v>1000</v>
      </c>
      <c r="F64" s="128">
        <f>'OP1 Rater'!CC51</f>
        <v>1500</v>
      </c>
      <c r="G64" s="128">
        <f>'OP1 Rater'!CD51</f>
        <v>2000</v>
      </c>
      <c r="H64" s="128">
        <f>'OP1 Rater'!CE51</f>
        <v>2500</v>
      </c>
      <c r="I64" s="128">
        <f>'OP1 Rater'!CF51</f>
        <v>3000</v>
      </c>
      <c r="J64" s="128">
        <f>'OP1 Rater'!CG51</f>
        <v>3500</v>
      </c>
      <c r="K64" s="128">
        <f>'OP1 Rater'!CH51</f>
        <v>4000</v>
      </c>
      <c r="L64" s="128">
        <f>'OP1 Rater'!CI51</f>
        <v>4500</v>
      </c>
      <c r="M64" s="128">
        <f>'OP1 Rater'!CJ51</f>
        <v>5000</v>
      </c>
      <c r="N64" s="128">
        <f>'OP1 Rater'!CK51</f>
        <v>6000</v>
      </c>
      <c r="O64" s="128">
        <v>6500</v>
      </c>
      <c r="P64" s="128">
        <f>'OP1 Rater'!CM51</f>
        <v>7000</v>
      </c>
      <c r="Q64" s="128">
        <f>'OP1 Rater'!CN51</f>
        <v>7500</v>
      </c>
      <c r="R64" s="128">
        <f>'OP1 Rater'!CO51</f>
        <v>8000</v>
      </c>
      <c r="S64" s="128">
        <f>'OP1 Rater'!CP51</f>
        <v>10000</v>
      </c>
      <c r="T64" s="2"/>
      <c r="U64" s="2"/>
    </row>
    <row r="65" spans="1:21" ht="12.75">
      <c r="A65" s="129" t="str">
        <f>'OP1 Rater'!BX52</f>
        <v>Insured Only</v>
      </c>
      <c r="B65" s="130"/>
      <c r="C65" s="124"/>
      <c r="D65" s="131">
        <f>'OP1 Rater'!CA52</f>
        <v>6.4</v>
      </c>
      <c r="E65" s="131">
        <f>'OP1 Rater'!CB52</f>
        <v>12.47</v>
      </c>
      <c r="F65" s="131">
        <f>'OP1 Rater'!CC52</f>
        <v>18.2</v>
      </c>
      <c r="G65" s="131">
        <f>'OP1 Rater'!CD52</f>
        <v>23.67</v>
      </c>
      <c r="H65" s="131">
        <f>'OP1 Rater'!CE52</f>
        <v>28.73</v>
      </c>
      <c r="I65" s="131">
        <f>'OP1 Rater'!CF52</f>
        <v>33.67</v>
      </c>
      <c r="J65" s="131">
        <f>'OP1 Rater'!CG52</f>
        <v>38.47</v>
      </c>
      <c r="K65" s="131">
        <f>'OP1 Rater'!CH52</f>
        <v>43</v>
      </c>
      <c r="L65" s="131">
        <f>'OP1 Rater'!CI52</f>
        <v>47.5</v>
      </c>
      <c r="M65" s="131">
        <f>'OP1 Rater'!CJ52</f>
        <v>52</v>
      </c>
      <c r="N65" s="131">
        <f>'OP1 Rater'!CK52</f>
        <v>60.47</v>
      </c>
      <c r="O65" s="131">
        <f>'OP1 Rater'!CL52</f>
        <v>64.5</v>
      </c>
      <c r="P65" s="131">
        <f>'OP1 Rater'!CM52</f>
        <v>68.53</v>
      </c>
      <c r="Q65" s="131">
        <f>'OP1 Rater'!CN52</f>
        <v>72.43</v>
      </c>
      <c r="R65" s="131">
        <f>'OP1 Rater'!CO52</f>
        <v>76.33</v>
      </c>
      <c r="S65" s="131">
        <f>'OP1 Rater'!CP52</f>
        <v>91.27</v>
      </c>
      <c r="T65" s="2"/>
      <c r="U65" s="2"/>
    </row>
    <row r="66" spans="1:21" ht="12.75">
      <c r="A66" s="132" t="str">
        <f>'OP1 Rater'!BX53</f>
        <v>Insured Plus Spouse</v>
      </c>
      <c r="B66" s="133"/>
      <c r="C66" s="124"/>
      <c r="D66" s="131">
        <f>'OP1 Rater'!CA53</f>
        <v>11.53</v>
      </c>
      <c r="E66" s="131">
        <f>'OP1 Rater'!CB53</f>
        <v>22.47</v>
      </c>
      <c r="F66" s="131">
        <f>'OP1 Rater'!CC53</f>
        <v>32.73</v>
      </c>
      <c r="G66" s="131">
        <f>'OP1 Rater'!CD53</f>
        <v>42.6</v>
      </c>
      <c r="H66" s="131">
        <f>'OP1 Rater'!CE53</f>
        <v>51.73</v>
      </c>
      <c r="I66" s="131">
        <f>'OP1 Rater'!CF53</f>
        <v>60.6</v>
      </c>
      <c r="J66" s="131">
        <f>'OP1 Rater'!CG53</f>
        <v>69.27</v>
      </c>
      <c r="K66" s="131">
        <f>'OP1 Rater'!CH53</f>
        <v>77.4</v>
      </c>
      <c r="L66" s="131">
        <f>'OP1 Rater'!CI53</f>
        <v>85.5</v>
      </c>
      <c r="M66" s="131">
        <f>'OP1 Rater'!CJ53</f>
        <v>93.6</v>
      </c>
      <c r="N66" s="131">
        <f>'OP1 Rater'!CK53</f>
        <v>108.87</v>
      </c>
      <c r="O66" s="131">
        <f>'OP1 Rater'!CL53</f>
        <v>116.1</v>
      </c>
      <c r="P66" s="131">
        <f>'OP1 Rater'!CM53</f>
        <v>123.33</v>
      </c>
      <c r="Q66" s="131">
        <f>'OP1 Rater'!CN53</f>
        <v>130.37</v>
      </c>
      <c r="R66" s="131">
        <f>'OP1 Rater'!CO53</f>
        <v>137.4</v>
      </c>
      <c r="S66" s="131">
        <f>'OP1 Rater'!CP53</f>
        <v>164.27</v>
      </c>
      <c r="T66" s="2"/>
      <c r="U66" s="2"/>
    </row>
    <row r="67" spans="1:21" ht="12.75">
      <c r="A67" s="132" t="str">
        <f>'OP1 Rater'!BX54</f>
        <v>Insured Plus Children</v>
      </c>
      <c r="B67" s="133"/>
      <c r="C67" s="124"/>
      <c r="D67" s="131">
        <f>'OP1 Rater'!CA54</f>
        <v>10.53</v>
      </c>
      <c r="E67" s="131">
        <f>'OP1 Rater'!CB54</f>
        <v>20.53</v>
      </c>
      <c r="F67" s="131">
        <f>'OP1 Rater'!CC54</f>
        <v>29.93</v>
      </c>
      <c r="G67" s="131">
        <f>'OP1 Rater'!CD54</f>
        <v>38.93</v>
      </c>
      <c r="H67" s="131">
        <f>'OP1 Rater'!CE54</f>
        <v>47.27</v>
      </c>
      <c r="I67" s="131">
        <f>'OP1 Rater'!CF54</f>
        <v>55.4</v>
      </c>
      <c r="J67" s="131">
        <f>'OP1 Rater'!CG54</f>
        <v>63.33</v>
      </c>
      <c r="K67" s="131">
        <f>'OP1 Rater'!CH54</f>
        <v>70.8</v>
      </c>
      <c r="L67" s="131">
        <f>'OP1 Rater'!CI54</f>
        <v>78.2</v>
      </c>
      <c r="M67" s="131">
        <f>'OP1 Rater'!CJ54</f>
        <v>85.6</v>
      </c>
      <c r="N67" s="131">
        <f>'OP1 Rater'!CK54</f>
        <v>99.53</v>
      </c>
      <c r="O67" s="131">
        <f>'OP1 Rater'!CL54</f>
        <v>106.17</v>
      </c>
      <c r="P67" s="131">
        <f>'OP1 Rater'!CM54</f>
        <v>112.8</v>
      </c>
      <c r="Q67" s="131">
        <f>'OP1 Rater'!CN54</f>
        <v>119.23</v>
      </c>
      <c r="R67" s="131">
        <f>'OP1 Rater'!CO54</f>
        <v>125.67</v>
      </c>
      <c r="S67" s="131">
        <f>'OP1 Rater'!CP54</f>
        <v>150.27</v>
      </c>
      <c r="T67" s="2"/>
      <c r="U67" s="2"/>
    </row>
    <row r="68" spans="1:21" ht="12.75">
      <c r="A68" s="134" t="str">
        <f>'OP1 Rater'!BX55</f>
        <v>Insured Plus Family</v>
      </c>
      <c r="B68" s="135"/>
      <c r="C68" s="124"/>
      <c r="D68" s="131">
        <f>'OP1 Rater'!CA55</f>
        <v>15.67</v>
      </c>
      <c r="E68" s="131">
        <f>'OP1 Rater'!CB55</f>
        <v>30.53</v>
      </c>
      <c r="F68" s="131">
        <f>'OP1 Rater'!CC55</f>
        <v>44.47</v>
      </c>
      <c r="G68" s="131">
        <f>'OP1 Rater'!CD55</f>
        <v>57.87</v>
      </c>
      <c r="H68" s="131">
        <f>'OP1 Rater'!CE55</f>
        <v>70.27</v>
      </c>
      <c r="I68" s="131">
        <f>'OP1 Rater'!CF55</f>
        <v>82.33</v>
      </c>
      <c r="J68" s="131">
        <f>'OP1 Rater'!CG55</f>
        <v>94.13</v>
      </c>
      <c r="K68" s="131">
        <f>'OP1 Rater'!CH55</f>
        <v>105.2</v>
      </c>
      <c r="L68" s="131">
        <f>'OP1 Rater'!CI55</f>
        <v>116.2</v>
      </c>
      <c r="M68" s="131">
        <f>'OP1 Rater'!CJ55</f>
        <v>127.2</v>
      </c>
      <c r="N68" s="131">
        <f>'OP1 Rater'!CK55</f>
        <v>147.93</v>
      </c>
      <c r="O68" s="131">
        <f>'OP1 Rater'!CL55</f>
        <v>157.77</v>
      </c>
      <c r="P68" s="131">
        <f>'OP1 Rater'!CM55</f>
        <v>167.6</v>
      </c>
      <c r="Q68" s="131">
        <f>'OP1 Rater'!CN55</f>
        <v>177.17</v>
      </c>
      <c r="R68" s="131">
        <f>'OP1 Rater'!CO55</f>
        <v>186.73</v>
      </c>
      <c r="S68" s="131">
        <f>'OP1 Rater'!CP55</f>
        <v>223.27</v>
      </c>
      <c r="T68" s="2"/>
      <c r="U68" s="2"/>
    </row>
    <row r="69" spans="1:21" ht="12.75">
      <c r="A69" s="124"/>
      <c r="B69" s="124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2"/>
      <c r="U69" s="2"/>
    </row>
    <row r="70" spans="1:21" ht="12.75">
      <c r="A70" s="124"/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2"/>
      <c r="U70" s="2"/>
    </row>
    <row r="71" spans="1:21" ht="12.75">
      <c r="A71" s="125" t="str">
        <f>'OP1 Rater'!EC24</f>
        <v>TEXAS</v>
      </c>
      <c r="B71" s="124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2"/>
      <c r="U71" s="2"/>
    </row>
    <row r="72" spans="1:21" ht="6" customHeight="1">
      <c r="A72" s="124"/>
      <c r="B72" s="124"/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2"/>
      <c r="U72" s="2"/>
    </row>
    <row r="73" spans="1:21" ht="12.75">
      <c r="A73" s="124"/>
      <c r="B73" s="124"/>
      <c r="C73" s="124"/>
      <c r="D73" s="126" t="str">
        <f>'OP1 Rater'!EF28</f>
        <v>Insured with Attained Age Under 40</v>
      </c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2"/>
      <c r="U73" s="2"/>
    </row>
    <row r="74" spans="1:21" ht="12.75">
      <c r="A74" s="124"/>
      <c r="B74" s="124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2"/>
      <c r="U74" s="2"/>
    </row>
    <row r="75" spans="1:21" ht="12.75">
      <c r="A75" s="124"/>
      <c r="B75" s="124"/>
      <c r="C75" s="124"/>
      <c r="D75" s="244" t="s">
        <v>5</v>
      </c>
      <c r="E75" s="244"/>
      <c r="F75" s="244"/>
      <c r="G75" s="244"/>
      <c r="H75" s="244"/>
      <c r="I75" s="244"/>
      <c r="J75" s="244"/>
      <c r="K75" s="244"/>
      <c r="L75" s="244"/>
      <c r="M75" s="244"/>
      <c r="N75" s="244"/>
      <c r="O75" s="244"/>
      <c r="P75" s="244"/>
      <c r="Q75" s="244"/>
      <c r="R75" s="244"/>
      <c r="S75" s="244"/>
      <c r="T75" s="2"/>
      <c r="U75" s="2"/>
    </row>
    <row r="76" spans="1:21" ht="12.75">
      <c r="A76" s="40"/>
      <c r="B76" s="124"/>
      <c r="C76" s="124"/>
      <c r="D76" s="128">
        <f>'OP1 Rater'!EF31</f>
        <v>500</v>
      </c>
      <c r="E76" s="128">
        <f>'OP1 Rater'!EG31</f>
        <v>1000</v>
      </c>
      <c r="F76" s="128">
        <f>'OP1 Rater'!EH31</f>
        <v>1500</v>
      </c>
      <c r="G76" s="128">
        <f>'OP1 Rater'!EI31</f>
        <v>2000</v>
      </c>
      <c r="H76" s="128">
        <f>'OP1 Rater'!EJ31</f>
        <v>2500</v>
      </c>
      <c r="I76" s="128">
        <f>'OP1 Rater'!EK31</f>
        <v>3000</v>
      </c>
      <c r="J76" s="128">
        <f>'OP1 Rater'!EL31</f>
        <v>3500</v>
      </c>
      <c r="K76" s="128">
        <f>'OP1 Rater'!EM31</f>
        <v>4000</v>
      </c>
      <c r="L76" s="128">
        <f>'OP1 Rater'!EN31</f>
        <v>4500</v>
      </c>
      <c r="M76" s="128">
        <f>'OP1 Rater'!EO31</f>
        <v>5000</v>
      </c>
      <c r="N76" s="128">
        <f>'OP1 Rater'!EP31</f>
        <v>6000</v>
      </c>
      <c r="O76" s="128">
        <v>6500</v>
      </c>
      <c r="P76" s="128">
        <f>'OP1 Rater'!ER31</f>
        <v>7000</v>
      </c>
      <c r="Q76" s="128">
        <f>'OP1 Rater'!ES31</f>
        <v>7500</v>
      </c>
      <c r="R76" s="128">
        <f>'OP1 Rater'!ET31</f>
        <v>8000</v>
      </c>
      <c r="S76" s="128">
        <f>'OP1 Rater'!EU31</f>
        <v>10000</v>
      </c>
      <c r="T76" s="2"/>
      <c r="U76" s="2"/>
    </row>
    <row r="77" spans="1:21" ht="12.75">
      <c r="A77" s="129" t="str">
        <f>'OP1 Rater'!EC32</f>
        <v>Insured Only</v>
      </c>
      <c r="B77" s="130"/>
      <c r="C77" s="124"/>
      <c r="D77" s="131">
        <f>'OP1 Rater'!EF32</f>
        <v>4.9</v>
      </c>
      <c r="E77" s="131">
        <f>'OP1 Rater'!EG32</f>
        <v>8.74</v>
      </c>
      <c r="F77" s="131">
        <f>'OP1 Rater'!EH32</f>
        <v>10.65</v>
      </c>
      <c r="G77" s="131">
        <f>'OP1 Rater'!EI32</f>
        <v>12.53</v>
      </c>
      <c r="H77" s="131">
        <f>'OP1 Rater'!EJ32</f>
        <v>16.5</v>
      </c>
      <c r="I77" s="131">
        <f>'OP1 Rater'!EK32</f>
        <v>20.37</v>
      </c>
      <c r="J77" s="131">
        <f>'OP1 Rater'!EL32</f>
        <v>23.13</v>
      </c>
      <c r="K77" s="131">
        <f>'OP1 Rater'!EM32</f>
        <v>25.74</v>
      </c>
      <c r="L77" s="131">
        <f>'OP1 Rater'!EN32</f>
        <v>28.04</v>
      </c>
      <c r="M77" s="131">
        <f>'OP1 Rater'!EO32</f>
        <v>30.34</v>
      </c>
      <c r="N77" s="131">
        <f>'OP1 Rater'!EP32</f>
        <v>35.11</v>
      </c>
      <c r="O77" s="131">
        <f>'OP1 Rater'!EQ32</f>
        <v>37.16</v>
      </c>
      <c r="P77" s="131">
        <f>'OP1 Rater'!ER32</f>
        <v>39.2</v>
      </c>
      <c r="Q77" s="131">
        <f>'OP1 Rater'!ES32</f>
        <v>41.12</v>
      </c>
      <c r="R77" s="131">
        <f>'OP1 Rater'!ET32</f>
        <v>43.04</v>
      </c>
      <c r="S77" s="131">
        <f>'OP1 Rater'!EU32</f>
        <v>49.5</v>
      </c>
      <c r="T77" s="2"/>
      <c r="U77" s="2"/>
    </row>
    <row r="78" spans="1:21" ht="12.75">
      <c r="A78" s="132" t="str">
        <f>'OP1 Rater'!EC33</f>
        <v>Insured Plus Spouse</v>
      </c>
      <c r="B78" s="133"/>
      <c r="C78" s="124"/>
      <c r="D78" s="131">
        <f>'OP1 Rater'!EF33</f>
        <v>8.82</v>
      </c>
      <c r="E78" s="131">
        <f>'OP1 Rater'!EG33</f>
        <v>15.72</v>
      </c>
      <c r="F78" s="131">
        <f>'OP1 Rater'!EH33</f>
        <v>19.17</v>
      </c>
      <c r="G78" s="131">
        <f>'OP1 Rater'!EI33</f>
        <v>22.54</v>
      </c>
      <c r="H78" s="131">
        <f>'OP1 Rater'!EJ33</f>
        <v>29.7</v>
      </c>
      <c r="I78" s="131">
        <f>'OP1 Rater'!EK33</f>
        <v>36.65</v>
      </c>
      <c r="J78" s="131">
        <f>'OP1 Rater'!EL33</f>
        <v>41.63</v>
      </c>
      <c r="K78" s="131">
        <f>'OP1 Rater'!EM33</f>
        <v>46.32</v>
      </c>
      <c r="L78" s="131">
        <f>'OP1 Rater'!EN33</f>
        <v>50.47</v>
      </c>
      <c r="M78" s="131">
        <f>'OP1 Rater'!EO33</f>
        <v>54.63</v>
      </c>
      <c r="N78" s="131">
        <f>'OP1 Rater'!EP33</f>
        <v>63.19</v>
      </c>
      <c r="O78" s="131">
        <f>'OP1 Rater'!EQ33</f>
        <v>66.88</v>
      </c>
      <c r="P78" s="131">
        <f>'OP1 Rater'!ER33</f>
        <v>70.56</v>
      </c>
      <c r="Q78" s="131">
        <f>'OP1 Rater'!ES33</f>
        <v>74.02</v>
      </c>
      <c r="R78" s="131">
        <f>'OP1 Rater'!ET33</f>
        <v>77.47</v>
      </c>
      <c r="S78" s="131">
        <f>'OP1 Rater'!EU33</f>
        <v>89.09</v>
      </c>
      <c r="T78" s="2"/>
      <c r="U78" s="2"/>
    </row>
    <row r="79" spans="1:21" ht="12.75">
      <c r="A79" s="132" t="str">
        <f>'OP1 Rater'!EC34</f>
        <v>Insured Plus Children</v>
      </c>
      <c r="B79" s="133"/>
      <c r="C79" s="124"/>
      <c r="D79" s="131">
        <f>'OP1 Rater'!EF34</f>
        <v>14.91</v>
      </c>
      <c r="E79" s="131">
        <f>'OP1 Rater'!EG34</f>
        <v>24.67</v>
      </c>
      <c r="F79" s="131">
        <f>'OP1 Rater'!EH34</f>
        <v>28.46</v>
      </c>
      <c r="G79" s="131">
        <f>'OP1 Rater'!EI34</f>
        <v>33.41</v>
      </c>
      <c r="H79" s="131">
        <f>'OP1 Rater'!EJ34</f>
        <v>43.99</v>
      </c>
      <c r="I79" s="131">
        <f>'OP1 Rater'!EK34</f>
        <v>54.33</v>
      </c>
      <c r="J79" s="131">
        <f>'OP1 Rater'!EL34</f>
        <v>61.62</v>
      </c>
      <c r="K79" s="131">
        <f>'OP1 Rater'!EM34</f>
        <v>68.48</v>
      </c>
      <c r="L79" s="131">
        <f>'OP1 Rater'!EN34</f>
        <v>74.68</v>
      </c>
      <c r="M79" s="131">
        <f>'OP1 Rater'!EO34</f>
        <v>80.88</v>
      </c>
      <c r="N79" s="131">
        <f>'OP1 Rater'!EP34</f>
        <v>94</v>
      </c>
      <c r="O79" s="131">
        <f>'OP1 Rater'!EQ34</f>
        <v>99.43</v>
      </c>
      <c r="P79" s="131">
        <f>'OP1 Rater'!ER34</f>
        <v>104.87</v>
      </c>
      <c r="Q79" s="131">
        <f>'OP1 Rater'!ES34</f>
        <v>110.04</v>
      </c>
      <c r="R79" s="131">
        <f>'OP1 Rater'!ET34</f>
        <v>115.22</v>
      </c>
      <c r="S79" s="131">
        <f>'OP1 Rater'!EU34</f>
        <v>132.5</v>
      </c>
      <c r="T79" s="2"/>
      <c r="U79" s="2"/>
    </row>
    <row r="80" spans="1:21" ht="12.75">
      <c r="A80" s="134" t="str">
        <f>'OP1 Rater'!EC35</f>
        <v>Insured Plus Family</v>
      </c>
      <c r="B80" s="135"/>
      <c r="C80" s="124"/>
      <c r="D80" s="131">
        <f>'OP1 Rater'!EF35</f>
        <v>18.83</v>
      </c>
      <c r="E80" s="131">
        <f>'OP1 Rater'!EG35</f>
        <v>31.66</v>
      </c>
      <c r="F80" s="131">
        <f>'OP1 Rater'!EH35</f>
        <v>36.99</v>
      </c>
      <c r="G80" s="131">
        <f>'OP1 Rater'!EI35</f>
        <v>43.42</v>
      </c>
      <c r="H80" s="131">
        <f>'OP1 Rater'!EJ35</f>
        <v>57.19</v>
      </c>
      <c r="I80" s="131">
        <f>'OP1 Rater'!EK35</f>
        <v>70.61</v>
      </c>
      <c r="J80" s="131">
        <f>'OP1 Rater'!EL35</f>
        <v>80.12</v>
      </c>
      <c r="K80" s="131">
        <f>'OP1 Rater'!EM35</f>
        <v>89.06</v>
      </c>
      <c r="L80" s="131">
        <f>'OP1 Rater'!EN35</f>
        <v>97.11</v>
      </c>
      <c r="M80" s="131">
        <f>'OP1 Rater'!EO35</f>
        <v>105.16</v>
      </c>
      <c r="N80" s="131">
        <f>'OP1 Rater'!EP35</f>
        <v>122.08</v>
      </c>
      <c r="O80" s="131">
        <f>'OP1 Rater'!EQ35</f>
        <v>129.15</v>
      </c>
      <c r="P80" s="131">
        <f>'OP1 Rater'!ER35</f>
        <v>136.23</v>
      </c>
      <c r="Q80" s="131">
        <f>'OP1 Rater'!ES35</f>
        <v>142.94</v>
      </c>
      <c r="R80" s="131">
        <f>'OP1 Rater'!ET35</f>
        <v>149.65</v>
      </c>
      <c r="S80" s="131">
        <f>'OP1 Rater'!EU35</f>
        <v>172.1</v>
      </c>
      <c r="T80" s="2"/>
      <c r="U80" s="2"/>
    </row>
    <row r="81" spans="1:21" ht="12.75">
      <c r="A81" s="124"/>
      <c r="B81" s="124"/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2"/>
      <c r="U81" s="2"/>
    </row>
    <row r="82" spans="1:21" ht="12.75">
      <c r="A82" s="124"/>
      <c r="B82" s="124"/>
      <c r="C82" s="124"/>
      <c r="D82" s="126" t="str">
        <f>'OP1 Rater'!EF38</f>
        <v>Insured with Attained Age 40 - 49</v>
      </c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2"/>
      <c r="U82" s="2"/>
    </row>
    <row r="83" spans="1:21" ht="6" customHeight="1">
      <c r="A83" s="124"/>
      <c r="B83" s="124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2"/>
      <c r="U83" s="2"/>
    </row>
    <row r="84" spans="1:21" ht="12.75">
      <c r="A84" s="124"/>
      <c r="B84" s="124"/>
      <c r="C84" s="124"/>
      <c r="D84" s="244" t="s">
        <v>5</v>
      </c>
      <c r="E84" s="244"/>
      <c r="F84" s="244"/>
      <c r="G84" s="244"/>
      <c r="H84" s="244"/>
      <c r="I84" s="244"/>
      <c r="J84" s="244"/>
      <c r="K84" s="244"/>
      <c r="L84" s="244"/>
      <c r="M84" s="244"/>
      <c r="N84" s="244"/>
      <c r="O84" s="244"/>
      <c r="P84" s="244"/>
      <c r="Q84" s="244"/>
      <c r="R84" s="244"/>
      <c r="S84" s="244"/>
      <c r="T84" s="2"/>
      <c r="U84" s="2"/>
    </row>
    <row r="85" spans="1:21" ht="12.75">
      <c r="A85" s="40"/>
      <c r="B85" s="124"/>
      <c r="C85" s="124"/>
      <c r="D85" s="128">
        <f>'OP1 Rater'!EF41</f>
        <v>500</v>
      </c>
      <c r="E85" s="128">
        <f>'OP1 Rater'!EG41</f>
        <v>1000</v>
      </c>
      <c r="F85" s="128">
        <f>'OP1 Rater'!EH41</f>
        <v>1500</v>
      </c>
      <c r="G85" s="128">
        <f>'OP1 Rater'!EI41</f>
        <v>2000</v>
      </c>
      <c r="H85" s="128">
        <f>'OP1 Rater'!EJ41</f>
        <v>2500</v>
      </c>
      <c r="I85" s="128">
        <f>'OP1 Rater'!EK41</f>
        <v>3000</v>
      </c>
      <c r="J85" s="128">
        <f>'OP1 Rater'!EL41</f>
        <v>3500</v>
      </c>
      <c r="K85" s="128">
        <f>'OP1 Rater'!EM41</f>
        <v>4000</v>
      </c>
      <c r="L85" s="128">
        <f>'OP1 Rater'!EN41</f>
        <v>4500</v>
      </c>
      <c r="M85" s="128">
        <f>'OP1 Rater'!EO41</f>
        <v>5000</v>
      </c>
      <c r="N85" s="128">
        <f>'OP1 Rater'!EP41</f>
        <v>6000</v>
      </c>
      <c r="O85" s="128">
        <v>6500</v>
      </c>
      <c r="P85" s="128">
        <f>'OP1 Rater'!ER41</f>
        <v>7000</v>
      </c>
      <c r="Q85" s="128">
        <f>'OP1 Rater'!ES41</f>
        <v>7500</v>
      </c>
      <c r="R85" s="128">
        <f>'OP1 Rater'!ET41</f>
        <v>8000</v>
      </c>
      <c r="S85" s="128">
        <f>'OP1 Rater'!EU41</f>
        <v>10000</v>
      </c>
      <c r="T85" s="2"/>
      <c r="U85" s="2"/>
    </row>
    <row r="86" spans="1:21" ht="12.75">
      <c r="A86" s="129" t="str">
        <f>'OP1 Rater'!BX32</f>
        <v>Insured Only</v>
      </c>
      <c r="B86" s="130"/>
      <c r="C86" s="124"/>
      <c r="D86" s="131">
        <f>'OP1 Rater'!EF42</f>
        <v>6.31</v>
      </c>
      <c r="E86" s="131">
        <f>'OP1 Rater'!EG42</f>
        <v>11.12</v>
      </c>
      <c r="F86" s="131">
        <f>'OP1 Rater'!EH42</f>
        <v>14.2</v>
      </c>
      <c r="G86" s="131">
        <f>'OP1 Rater'!EI42</f>
        <v>15.85</v>
      </c>
      <c r="H86" s="131">
        <f>'OP1 Rater'!EJ42</f>
        <v>20.81</v>
      </c>
      <c r="I86" s="131">
        <f>'OP1 Rater'!EK42</f>
        <v>25.77</v>
      </c>
      <c r="J86" s="131">
        <f>'OP1 Rater'!EL42</f>
        <v>29.22</v>
      </c>
      <c r="K86" s="131">
        <f>'OP1 Rater'!EM42</f>
        <v>32.54</v>
      </c>
      <c r="L86" s="131">
        <f>'OP1 Rater'!EN42</f>
        <v>35.5</v>
      </c>
      <c r="M86" s="131">
        <f>'OP1 Rater'!EO42</f>
        <v>38.47</v>
      </c>
      <c r="N86" s="131">
        <f>'OP1 Rater'!EP42</f>
        <v>44.41</v>
      </c>
      <c r="O86" s="131">
        <f>'OP1 Rater'!EQ42</f>
        <v>47</v>
      </c>
      <c r="P86" s="131">
        <f>'OP1 Rater'!ER42</f>
        <v>49.59</v>
      </c>
      <c r="Q86" s="131">
        <f>'OP1 Rater'!ES42</f>
        <v>52.04</v>
      </c>
      <c r="R86" s="131">
        <f>'OP1 Rater'!ET42</f>
        <v>54.48</v>
      </c>
      <c r="S86" s="131">
        <f>'OP1 Rater'!EU42</f>
        <v>62.65</v>
      </c>
      <c r="T86" s="2"/>
      <c r="U86" s="2"/>
    </row>
    <row r="87" spans="1:21" ht="12.75">
      <c r="A87" s="132" t="str">
        <f>'OP1 Rater'!BX33</f>
        <v>Insured Plus Spouse</v>
      </c>
      <c r="B87" s="133"/>
      <c r="C87" s="124"/>
      <c r="D87" s="131">
        <f>'OP1 Rater'!EF43</f>
        <v>11.35</v>
      </c>
      <c r="E87" s="131">
        <f>'OP1 Rater'!EG43</f>
        <v>19.95</v>
      </c>
      <c r="F87" s="131">
        <f>'OP1 Rater'!EH43</f>
        <v>25.55</v>
      </c>
      <c r="G87" s="131">
        <f>'OP1 Rater'!EI43</f>
        <v>28.55</v>
      </c>
      <c r="H87" s="131">
        <f>'OP1 Rater'!EJ43</f>
        <v>37.48</v>
      </c>
      <c r="I87" s="131">
        <f>'OP1 Rater'!EK43</f>
        <v>46.4</v>
      </c>
      <c r="J87" s="131">
        <f>'OP1 Rater'!EL43</f>
        <v>52.58</v>
      </c>
      <c r="K87" s="131">
        <f>'OP1 Rater'!EM43</f>
        <v>58.57</v>
      </c>
      <c r="L87" s="131">
        <f>'OP1 Rater'!EN43</f>
        <v>63.91</v>
      </c>
      <c r="M87" s="131">
        <f>'OP1 Rater'!EO43</f>
        <v>69.24</v>
      </c>
      <c r="N87" s="131">
        <f>'OP1 Rater'!EP43</f>
        <v>79.95</v>
      </c>
      <c r="O87" s="131">
        <f>'OP1 Rater'!EQ43</f>
        <v>84.61</v>
      </c>
      <c r="P87" s="131">
        <f>'OP1 Rater'!ER43</f>
        <v>89.27</v>
      </c>
      <c r="Q87" s="131">
        <f>'OP1 Rater'!ES43</f>
        <v>93.66</v>
      </c>
      <c r="R87" s="131">
        <f>'OP1 Rater'!ET43</f>
        <v>98.06</v>
      </c>
      <c r="S87" s="131">
        <f>'OP1 Rater'!EU43</f>
        <v>112.77</v>
      </c>
      <c r="T87" s="2"/>
      <c r="U87" s="2"/>
    </row>
    <row r="88" spans="1:21" ht="12.75">
      <c r="A88" s="132" t="str">
        <f>'OP1 Rater'!BX34</f>
        <v>Insured Plus Children</v>
      </c>
      <c r="B88" s="133"/>
      <c r="C88" s="124"/>
      <c r="D88" s="131">
        <f>'OP1 Rater'!EF44</f>
        <v>15.14</v>
      </c>
      <c r="E88" s="131">
        <f>'OP1 Rater'!EG44</f>
        <v>25.17</v>
      </c>
      <c r="F88" s="131">
        <f>'OP1 Rater'!EH44</f>
        <v>29.91</v>
      </c>
      <c r="G88" s="131">
        <f>'OP1 Rater'!EI44</f>
        <v>46.4</v>
      </c>
      <c r="H88" s="131">
        <f>'OP1 Rater'!EJ44</f>
        <v>51.08</v>
      </c>
      <c r="I88" s="131">
        <f>'OP1 Rater'!EK44</f>
        <v>55.72</v>
      </c>
      <c r="J88" s="131">
        <f>'OP1 Rater'!EL44</f>
        <v>63.15</v>
      </c>
      <c r="K88" s="131">
        <f>'OP1 Rater'!EM44</f>
        <v>70.22</v>
      </c>
      <c r="L88" s="131">
        <f>'OP1 Rater'!EN44</f>
        <v>76.63</v>
      </c>
      <c r="M88" s="131">
        <f>'OP1 Rater'!EO44</f>
        <v>83.03</v>
      </c>
      <c r="N88" s="131">
        <f>'OP1 Rater'!EP44</f>
        <v>96.33</v>
      </c>
      <c r="O88" s="131">
        <f>'OP1 Rater'!EQ44</f>
        <v>101.91</v>
      </c>
      <c r="P88" s="131">
        <f>'OP1 Rater'!ER44</f>
        <v>107.49</v>
      </c>
      <c r="Q88" s="131">
        <f>'OP1 Rater'!ES44</f>
        <v>112.81</v>
      </c>
      <c r="R88" s="131">
        <f>'OP1 Rater'!ET44</f>
        <v>118.12</v>
      </c>
      <c r="S88" s="131">
        <f>'OP1 Rater'!EU44</f>
        <v>135.84</v>
      </c>
      <c r="T88" s="2"/>
      <c r="U88" s="2"/>
    </row>
    <row r="89" spans="1:21" ht="12.75">
      <c r="A89" s="134" t="str">
        <f>'OP1 Rater'!BX35</f>
        <v>Insured Plus Family</v>
      </c>
      <c r="B89" s="135"/>
      <c r="C89" s="124"/>
      <c r="D89" s="131">
        <f>'OP1 Rater'!EF45</f>
        <v>20.18</v>
      </c>
      <c r="E89" s="131">
        <f>'OP1 Rater'!EG45</f>
        <v>34.08</v>
      </c>
      <c r="F89" s="131">
        <f>'OP1 Rater'!EH45</f>
        <v>41.25</v>
      </c>
      <c r="G89" s="131">
        <f>'OP1 Rater'!EI45</f>
        <v>55.72</v>
      </c>
      <c r="H89" s="131">
        <f>'OP1 Rater'!EJ45</f>
        <v>66.07</v>
      </c>
      <c r="I89" s="131">
        <f>'OP1 Rater'!EK45</f>
        <v>76.34</v>
      </c>
      <c r="J89" s="131">
        <f>'OP1 Rater'!EL45</f>
        <v>86.52</v>
      </c>
      <c r="K89" s="131">
        <f>'OP1 Rater'!EM45</f>
        <v>96.26</v>
      </c>
      <c r="L89" s="131">
        <f>'OP1 Rater'!EN45</f>
        <v>105.03</v>
      </c>
      <c r="M89" s="131">
        <f>'OP1 Rater'!EO45</f>
        <v>113.8</v>
      </c>
      <c r="N89" s="131">
        <f>'OP1 Rater'!EP45</f>
        <v>131.87</v>
      </c>
      <c r="O89" s="131">
        <f>'OP1 Rater'!EQ45</f>
        <v>139.52</v>
      </c>
      <c r="P89" s="131">
        <f>'OP1 Rater'!ER45</f>
        <v>147.17</v>
      </c>
      <c r="Q89" s="131">
        <f>'OP1 Rater'!ES45</f>
        <v>154.44</v>
      </c>
      <c r="R89" s="131">
        <f>'OP1 Rater'!ET45</f>
        <v>161.71</v>
      </c>
      <c r="S89" s="131">
        <f>'OP1 Rater'!EU45</f>
        <v>185.96</v>
      </c>
      <c r="T89" s="2"/>
      <c r="U89" s="2"/>
    </row>
    <row r="90" spans="1:21" ht="12.75">
      <c r="A90" s="124"/>
      <c r="B90" s="124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24"/>
      <c r="S90" s="124"/>
      <c r="T90" s="2"/>
      <c r="U90" s="2"/>
    </row>
    <row r="91" spans="1:21" ht="12.75">
      <c r="A91" s="124"/>
      <c r="B91" s="124"/>
      <c r="C91" s="124"/>
      <c r="D91" s="126" t="str">
        <f>'OP1 Rater'!EF48</f>
        <v>Insured with Attained Age 50+</v>
      </c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  <c r="R91" s="124"/>
      <c r="S91" s="124"/>
      <c r="T91" s="2"/>
      <c r="U91" s="2"/>
    </row>
    <row r="92" spans="1:21" ht="6" customHeight="1">
      <c r="A92" s="124"/>
      <c r="B92" s="124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4"/>
      <c r="R92" s="124"/>
      <c r="S92" s="124"/>
      <c r="T92" s="2"/>
      <c r="U92" s="2"/>
    </row>
    <row r="93" spans="1:21" ht="12.75">
      <c r="A93" s="124"/>
      <c r="B93" s="124"/>
      <c r="C93" s="124"/>
      <c r="D93" s="244" t="s">
        <v>5</v>
      </c>
      <c r="E93" s="244"/>
      <c r="F93" s="244"/>
      <c r="G93" s="244"/>
      <c r="H93" s="244"/>
      <c r="I93" s="244"/>
      <c r="J93" s="244"/>
      <c r="K93" s="244"/>
      <c r="L93" s="244"/>
      <c r="M93" s="244"/>
      <c r="N93" s="244"/>
      <c r="O93" s="244"/>
      <c r="P93" s="244"/>
      <c r="Q93" s="244"/>
      <c r="R93" s="244"/>
      <c r="S93" s="244"/>
      <c r="T93" s="2"/>
      <c r="U93" s="2"/>
    </row>
    <row r="94" spans="1:21" ht="12.75">
      <c r="A94" s="40"/>
      <c r="B94" s="124"/>
      <c r="C94" s="124"/>
      <c r="D94" s="128">
        <f>'OP1 Rater'!EF51</f>
        <v>500</v>
      </c>
      <c r="E94" s="128">
        <f>'OP1 Rater'!EG51</f>
        <v>1000</v>
      </c>
      <c r="F94" s="128">
        <f>'OP1 Rater'!EH51</f>
        <v>1500</v>
      </c>
      <c r="G94" s="128">
        <f>'OP1 Rater'!EI51</f>
        <v>2000</v>
      </c>
      <c r="H94" s="128">
        <f>'OP1 Rater'!EJ51</f>
        <v>2500</v>
      </c>
      <c r="I94" s="128">
        <f>'OP1 Rater'!EK51</f>
        <v>3000</v>
      </c>
      <c r="J94" s="128">
        <f>'OP1 Rater'!EL51</f>
        <v>3500</v>
      </c>
      <c r="K94" s="128">
        <f>'OP1 Rater'!EM51</f>
        <v>4000</v>
      </c>
      <c r="L94" s="128">
        <f>'OP1 Rater'!EN51</f>
        <v>4500</v>
      </c>
      <c r="M94" s="128">
        <f>'OP1 Rater'!EO51</f>
        <v>5000</v>
      </c>
      <c r="N94" s="128">
        <f>'OP1 Rater'!EP51</f>
        <v>6000</v>
      </c>
      <c r="O94" s="128">
        <v>6500</v>
      </c>
      <c r="P94" s="128">
        <f>'OP1 Rater'!ER51</f>
        <v>7000</v>
      </c>
      <c r="Q94" s="128">
        <f>'OP1 Rater'!ES51</f>
        <v>7500</v>
      </c>
      <c r="R94" s="128">
        <f>'OP1 Rater'!ET51</f>
        <v>8000</v>
      </c>
      <c r="S94" s="128">
        <f>'OP1 Rater'!EU51</f>
        <v>10000</v>
      </c>
      <c r="T94" s="2"/>
      <c r="U94" s="2"/>
    </row>
    <row r="95" spans="1:21" ht="12.75">
      <c r="A95" s="129" t="str">
        <f>'OP1 Rater'!EC52</f>
        <v>Insured Only</v>
      </c>
      <c r="B95" s="130"/>
      <c r="C95" s="124"/>
      <c r="D95" s="131">
        <f>'OP1 Rater'!EF52</f>
        <v>13.17</v>
      </c>
      <c r="E95" s="131">
        <f>'OP1 Rater'!EG52</f>
        <v>24.63</v>
      </c>
      <c r="F95" s="131">
        <f>'OP1 Rater'!EH52</f>
        <v>28.98</v>
      </c>
      <c r="G95" s="131">
        <f>'OP1 Rater'!EI52</f>
        <v>32.3</v>
      </c>
      <c r="H95" s="131">
        <f>'OP1 Rater'!EJ52</f>
        <v>44.9</v>
      </c>
      <c r="I95" s="131">
        <f>'OP1 Rater'!EK52</f>
        <v>57.16</v>
      </c>
      <c r="J95" s="131">
        <f>'OP1 Rater'!EL52</f>
        <v>61.87</v>
      </c>
      <c r="K95" s="131">
        <f>'OP1 Rater'!EM52</f>
        <v>66.32</v>
      </c>
      <c r="L95" s="131">
        <f>'OP1 Rater'!EN52</f>
        <v>72.34</v>
      </c>
      <c r="M95" s="131">
        <f>'OP1 Rater'!EO52</f>
        <v>78.35</v>
      </c>
      <c r="N95" s="131">
        <f>'OP1 Rater'!EP52</f>
        <v>91.29</v>
      </c>
      <c r="O95" s="131">
        <f>'OP1 Rater'!EQ52</f>
        <v>96.62</v>
      </c>
      <c r="P95" s="131">
        <f>'OP1 Rater'!ER52</f>
        <v>101.96</v>
      </c>
      <c r="Q95" s="131">
        <f>'OP1 Rater'!ES52</f>
        <v>106.93</v>
      </c>
      <c r="R95" s="131">
        <f>'OP1 Rater'!ET52</f>
        <v>111.91</v>
      </c>
      <c r="S95" s="131">
        <f>'OP1 Rater'!EU52</f>
        <v>128.7</v>
      </c>
      <c r="T95" s="2"/>
      <c r="U95" s="2"/>
    </row>
    <row r="96" spans="1:21" ht="12.75">
      <c r="A96" s="132" t="str">
        <f>'OP1 Rater'!EC53</f>
        <v>Insured Plus Spouse</v>
      </c>
      <c r="B96" s="133"/>
      <c r="C96" s="124"/>
      <c r="D96" s="131">
        <f>'OP1 Rater'!EF53</f>
        <v>23.71</v>
      </c>
      <c r="E96" s="131">
        <f>'OP1 Rater'!EG53</f>
        <v>44.33</v>
      </c>
      <c r="F96" s="131">
        <f>'OP1 Rater'!EH53</f>
        <v>52.18</v>
      </c>
      <c r="G96" s="131">
        <f>'OP1 Rater'!EI53</f>
        <v>58.13</v>
      </c>
      <c r="H96" s="131">
        <f>'OP1 Rater'!EJ53</f>
        <v>80.83</v>
      </c>
      <c r="I96" s="131">
        <f>'OP1 Rater'!EK53</f>
        <v>102.86</v>
      </c>
      <c r="J96" s="131">
        <f>'OP1 Rater'!EL53</f>
        <v>111.37</v>
      </c>
      <c r="K96" s="131">
        <f>'OP1 Rater'!EM53</f>
        <v>119.36</v>
      </c>
      <c r="L96" s="131">
        <f>'OP1 Rater'!EN53</f>
        <v>130.18</v>
      </c>
      <c r="M96" s="131">
        <f>'OP1 Rater'!EO53</f>
        <v>141.01</v>
      </c>
      <c r="N96" s="131">
        <f>'OP1 Rater'!EP53</f>
        <v>164.32</v>
      </c>
      <c r="O96" s="131">
        <f>'OP1 Rater'!EQ53</f>
        <v>173.91</v>
      </c>
      <c r="P96" s="131">
        <f>'OP1 Rater'!ER53</f>
        <v>183.51</v>
      </c>
      <c r="Q96" s="131">
        <f>'OP1 Rater'!ES53</f>
        <v>192.47</v>
      </c>
      <c r="R96" s="131">
        <f>'OP1 Rater'!ET53</f>
        <v>201.43</v>
      </c>
      <c r="S96" s="131">
        <f>'OP1 Rater'!EU53</f>
        <v>231.65</v>
      </c>
      <c r="T96" s="2"/>
      <c r="U96" s="2"/>
    </row>
    <row r="97" spans="1:21" ht="12.75">
      <c r="A97" s="132" t="str">
        <f>'OP1 Rater'!EC54</f>
        <v>Insured Plus Children</v>
      </c>
      <c r="B97" s="133"/>
      <c r="C97" s="124"/>
      <c r="D97" s="131">
        <f>'OP1 Rater'!EF54</f>
        <v>26.63</v>
      </c>
      <c r="E97" s="131">
        <f>'OP1 Rater'!EG54</f>
        <v>46.05</v>
      </c>
      <c r="F97" s="131">
        <f>'OP1 Rater'!EH54</f>
        <v>52.92</v>
      </c>
      <c r="G97" s="131">
        <f>'OP1 Rater'!EI54</f>
        <v>60.37</v>
      </c>
      <c r="H97" s="131">
        <f>'OP1 Rater'!EJ54</f>
        <v>81.84</v>
      </c>
      <c r="I97" s="131">
        <f>'OP1 Rater'!EK54</f>
        <v>102.8</v>
      </c>
      <c r="J97" s="131">
        <f>'OP1 Rater'!EL54</f>
        <v>113.6</v>
      </c>
      <c r="K97" s="131">
        <f>'OP1 Rater'!EM54</f>
        <v>123.77</v>
      </c>
      <c r="L97" s="131">
        <f>'OP1 Rater'!EN54</f>
        <v>135.02</v>
      </c>
      <c r="M97" s="131">
        <f>'OP1 Rater'!EO54</f>
        <v>146.27</v>
      </c>
      <c r="N97" s="131">
        <f>'OP1 Rater'!EP54</f>
        <v>170.44</v>
      </c>
      <c r="O97" s="131">
        <f>'OP1 Rater'!EQ54</f>
        <v>180.4</v>
      </c>
      <c r="P97" s="131">
        <f>'OP1 Rater'!ER54</f>
        <v>190.35</v>
      </c>
      <c r="Q97" s="131">
        <f>'OP1 Rater'!ES54</f>
        <v>199.64</v>
      </c>
      <c r="R97" s="131">
        <f>'OP1 Rater'!ET54</f>
        <v>208.93</v>
      </c>
      <c r="S97" s="131">
        <f>'OP1 Rater'!EU54</f>
        <v>240.27</v>
      </c>
      <c r="T97" s="2"/>
      <c r="U97" s="2"/>
    </row>
    <row r="98" spans="1:21" ht="12.75">
      <c r="A98" s="134" t="str">
        <f>'OP1 Rater'!EC55</f>
        <v>Insured Plus Family</v>
      </c>
      <c r="B98" s="135"/>
      <c r="C98" s="124"/>
      <c r="D98" s="131">
        <f>'OP1 Rater'!EF55</f>
        <v>37.17</v>
      </c>
      <c r="E98" s="131">
        <f>'OP1 Rater'!EG55</f>
        <v>65.75</v>
      </c>
      <c r="F98" s="131">
        <f>'OP1 Rater'!EH55</f>
        <v>76.12</v>
      </c>
      <c r="G98" s="131">
        <f>'OP1 Rater'!EI55</f>
        <v>86.2</v>
      </c>
      <c r="H98" s="131">
        <f>'OP1 Rater'!EJ55</f>
        <v>117.78</v>
      </c>
      <c r="I98" s="131">
        <f>'OP1 Rater'!EK55</f>
        <v>148.51</v>
      </c>
      <c r="J98" s="131">
        <f>'OP1 Rater'!EL55</f>
        <v>163.11</v>
      </c>
      <c r="K98" s="131">
        <f>'OP1 Rater'!EM55</f>
        <v>176.8</v>
      </c>
      <c r="L98" s="131">
        <f>'OP1 Rater'!EN55</f>
        <v>192.87</v>
      </c>
      <c r="M98" s="131">
        <f>'OP1 Rater'!EO55</f>
        <v>208.93</v>
      </c>
      <c r="N98" s="131">
        <f>'OP1 Rater'!EP55</f>
        <v>243.47</v>
      </c>
      <c r="O98" s="131">
        <f>'OP1 Rater'!EQ55</f>
        <v>257.68</v>
      </c>
      <c r="P98" s="131">
        <f>'OP1 Rater'!ER55</f>
        <v>271.9</v>
      </c>
      <c r="Q98" s="131">
        <f>'OP1 Rater'!ES55</f>
        <v>285.17</v>
      </c>
      <c r="R98" s="131">
        <f>'OP1 Rater'!ET55</f>
        <v>298.45</v>
      </c>
      <c r="S98" s="131">
        <f>'OP1 Rater'!EU55</f>
        <v>343.21</v>
      </c>
      <c r="T98" s="2"/>
      <c r="U98" s="2"/>
    </row>
    <row r="99" spans="1:21" ht="12.75">
      <c r="A99" s="124"/>
      <c r="B99" s="124"/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4"/>
      <c r="P99" s="124"/>
      <c r="Q99" s="124"/>
      <c r="R99" s="124"/>
      <c r="S99" s="124"/>
      <c r="T99" s="2"/>
      <c r="U99" s="2"/>
    </row>
    <row r="100" spans="1:21" ht="12.75">
      <c r="A100" s="124"/>
      <c r="B100" s="124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2"/>
      <c r="U100" s="2"/>
    </row>
    <row r="101" spans="1:21" ht="12.75">
      <c r="A101" s="125" t="str">
        <f>'OP1 Rater'!GG24</f>
        <v>ALL OTHER STATES</v>
      </c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2"/>
      <c r="U101" s="2"/>
    </row>
    <row r="102" spans="1:21" ht="6" customHeight="1">
      <c r="A102" s="124"/>
      <c r="B102" s="124"/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  <c r="N102" s="124"/>
      <c r="O102" s="124"/>
      <c r="P102" s="124"/>
      <c r="Q102" s="124"/>
      <c r="R102" s="124"/>
      <c r="S102" s="124"/>
      <c r="T102" s="2"/>
      <c r="U102" s="2"/>
    </row>
    <row r="103" spans="1:21" ht="12.75">
      <c r="A103" s="124"/>
      <c r="B103" s="124"/>
      <c r="C103" s="124"/>
      <c r="D103" s="126" t="str">
        <f>'OP1 Rater'!GJ28</f>
        <v>Insured with Attained Age Under 40</v>
      </c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  <c r="S103" s="124"/>
      <c r="T103" s="2"/>
      <c r="U103" s="2"/>
    </row>
    <row r="104" spans="1:21" ht="6" customHeight="1">
      <c r="A104" s="124"/>
      <c r="B104" s="124"/>
      <c r="C104" s="124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  <c r="N104" s="124"/>
      <c r="O104" s="124"/>
      <c r="P104" s="124"/>
      <c r="Q104" s="124"/>
      <c r="R104" s="124"/>
      <c r="S104" s="124"/>
      <c r="T104" s="2"/>
      <c r="U104" s="2"/>
    </row>
    <row r="105" spans="1:21" ht="12.75">
      <c r="A105" s="124"/>
      <c r="B105" s="124"/>
      <c r="C105" s="124"/>
      <c r="D105" s="244" t="s">
        <v>5</v>
      </c>
      <c r="E105" s="244"/>
      <c r="F105" s="244"/>
      <c r="G105" s="244"/>
      <c r="H105" s="244"/>
      <c r="I105" s="244"/>
      <c r="J105" s="244"/>
      <c r="K105" s="244"/>
      <c r="L105" s="244"/>
      <c r="M105" s="244"/>
      <c r="N105" s="244"/>
      <c r="O105" s="244"/>
      <c r="P105" s="244"/>
      <c r="Q105" s="244"/>
      <c r="R105" s="244"/>
      <c r="S105" s="244"/>
      <c r="T105" s="2"/>
      <c r="U105" s="2"/>
    </row>
    <row r="106" spans="1:21" ht="12.75">
      <c r="A106" s="40"/>
      <c r="B106" s="124"/>
      <c r="C106" s="124"/>
      <c r="D106" s="128">
        <f>'OP1 Rater'!GJ31</f>
        <v>500</v>
      </c>
      <c r="E106" s="128">
        <f>'OP1 Rater'!GK31</f>
        <v>1000</v>
      </c>
      <c r="F106" s="128">
        <f>'OP1 Rater'!GL31</f>
        <v>1500</v>
      </c>
      <c r="G106" s="128">
        <f>'OP1 Rater'!GM31</f>
        <v>2000</v>
      </c>
      <c r="H106" s="128">
        <f>'OP1 Rater'!GN31</f>
        <v>2500</v>
      </c>
      <c r="I106" s="128">
        <f>'OP1 Rater'!GO31</f>
        <v>3000</v>
      </c>
      <c r="J106" s="128">
        <f>'OP1 Rater'!GP31</f>
        <v>3500</v>
      </c>
      <c r="K106" s="128">
        <f>'OP1 Rater'!GQ31</f>
        <v>4000</v>
      </c>
      <c r="L106" s="128">
        <f>'OP1 Rater'!GR31</f>
        <v>4500</v>
      </c>
      <c r="M106" s="128">
        <f>'OP1 Rater'!GS31</f>
        <v>5000</v>
      </c>
      <c r="N106" s="128">
        <f>'OP1 Rater'!GT31</f>
        <v>6000</v>
      </c>
      <c r="O106" s="128">
        <v>6500</v>
      </c>
      <c r="P106" s="128">
        <f>'OP1 Rater'!GV31</f>
        <v>7000</v>
      </c>
      <c r="Q106" s="128">
        <f>'OP1 Rater'!GW31</f>
        <v>7500</v>
      </c>
      <c r="R106" s="128">
        <f>'OP1 Rater'!GX31</f>
        <v>8000</v>
      </c>
      <c r="S106" s="128">
        <f>'OP1 Rater'!GY31</f>
        <v>10000</v>
      </c>
      <c r="T106" s="2"/>
      <c r="U106" s="2"/>
    </row>
    <row r="107" spans="1:21" ht="12.75">
      <c r="A107" s="129" t="str">
        <f>'OP1 Rater'!GG32</f>
        <v>Insured Only</v>
      </c>
      <c r="B107" s="130"/>
      <c r="C107" s="124"/>
      <c r="D107" s="131">
        <f>'OP1 Rater'!GJ32</f>
        <v>3.74</v>
      </c>
      <c r="E107" s="131">
        <f>'OP1 Rater'!GK32</f>
        <v>7.33</v>
      </c>
      <c r="F107" s="131">
        <f>'OP1 Rater'!GL32</f>
        <v>10.69</v>
      </c>
      <c r="G107" s="131">
        <f>'OP1 Rater'!GM32</f>
        <v>13.9</v>
      </c>
      <c r="H107" s="131">
        <f>'OP1 Rater'!GN32</f>
        <v>16.88</v>
      </c>
      <c r="I107" s="131">
        <f>'OP1 Rater'!GO32</f>
        <v>19.78</v>
      </c>
      <c r="J107" s="131">
        <f>'OP1 Rater'!GP32</f>
        <v>22.6</v>
      </c>
      <c r="K107" s="131">
        <f>'OP1 Rater'!GQ32</f>
        <v>25.28</v>
      </c>
      <c r="L107" s="131">
        <f>'OP1 Rater'!GR32</f>
        <v>27.91</v>
      </c>
      <c r="M107" s="131">
        <f>'OP1 Rater'!GS32</f>
        <v>30.55</v>
      </c>
      <c r="N107" s="131">
        <f>'OP1 Rater'!GT32</f>
        <v>35.51</v>
      </c>
      <c r="O107" s="131">
        <f>'OP1 Rater'!GU32</f>
        <v>37.88</v>
      </c>
      <c r="P107" s="131">
        <f>'OP1 Rater'!GV32</f>
        <v>40.24</v>
      </c>
      <c r="Q107" s="131">
        <f>'OP1 Rater'!GW32</f>
        <v>42.53</v>
      </c>
      <c r="R107" s="131">
        <f>'OP1 Rater'!GX32</f>
        <v>44.83</v>
      </c>
      <c r="S107" s="131">
        <f>'OP1 Rater'!GY32</f>
        <v>53.61</v>
      </c>
      <c r="T107" s="2"/>
      <c r="U107" s="2"/>
    </row>
    <row r="108" spans="1:21" ht="12.75">
      <c r="A108" s="132" t="str">
        <f>'OP1 Rater'!GG33</f>
        <v>Insured Plus Spouse</v>
      </c>
      <c r="B108" s="133"/>
      <c r="C108" s="124"/>
      <c r="D108" s="131">
        <f>'OP1 Rater'!GJ33</f>
        <v>6.72</v>
      </c>
      <c r="E108" s="131">
        <f>'OP1 Rater'!GK33</f>
        <v>13.21</v>
      </c>
      <c r="F108" s="131">
        <f>'OP1 Rater'!GL33</f>
        <v>19.24</v>
      </c>
      <c r="G108" s="131">
        <f>'OP1 Rater'!GM33</f>
        <v>25.05</v>
      </c>
      <c r="H108" s="131">
        <f>'OP1 Rater'!GN33</f>
        <v>30.39</v>
      </c>
      <c r="I108" s="131">
        <f>'OP1 Rater'!GO33</f>
        <v>35.59</v>
      </c>
      <c r="J108" s="131">
        <f>'OP1 Rater'!GP33</f>
        <v>40.7</v>
      </c>
      <c r="K108" s="131">
        <f>'OP1 Rater'!GQ33</f>
        <v>45.51</v>
      </c>
      <c r="L108" s="131">
        <f>'OP1 Rater'!GR33</f>
        <v>50.25</v>
      </c>
      <c r="M108" s="131">
        <f>'OP1 Rater'!GS33</f>
        <v>54.98</v>
      </c>
      <c r="N108" s="131">
        <f>'OP1 Rater'!GT33</f>
        <v>63.92</v>
      </c>
      <c r="O108" s="131">
        <f>'OP1 Rater'!GU33</f>
        <v>68.19</v>
      </c>
      <c r="P108" s="131">
        <f>'OP1 Rater'!GV33</f>
        <v>72.47</v>
      </c>
      <c r="Q108" s="131">
        <f>'OP1 Rater'!GW33</f>
        <v>76.59</v>
      </c>
      <c r="R108" s="131">
        <f>'OP1 Rater'!GX33</f>
        <v>80.72</v>
      </c>
      <c r="S108" s="131">
        <f>'OP1 Rater'!GY33</f>
        <v>96.52</v>
      </c>
      <c r="T108" s="2"/>
      <c r="U108" s="2"/>
    </row>
    <row r="109" spans="1:21" ht="12.75">
      <c r="A109" s="132" t="str">
        <f>'OP1 Rater'!GG34</f>
        <v>Insured Plus Children</v>
      </c>
      <c r="B109" s="133"/>
      <c r="C109" s="124"/>
      <c r="D109" s="131">
        <f>'OP1 Rater'!GJ34</f>
        <v>8.48</v>
      </c>
      <c r="E109" s="131">
        <f>'OP1 Rater'!GK34</f>
        <v>16.57</v>
      </c>
      <c r="F109" s="131">
        <f>'OP1 Rater'!GL34</f>
        <v>24.13</v>
      </c>
      <c r="G109" s="131">
        <f>'OP1 Rater'!GM34</f>
        <v>31.39</v>
      </c>
      <c r="H109" s="131">
        <f>'OP1 Rater'!GN34</f>
        <v>38.11</v>
      </c>
      <c r="I109" s="131">
        <f>'OP1 Rater'!GO34</f>
        <v>44.67</v>
      </c>
      <c r="J109" s="131">
        <f>'OP1 Rater'!GP34</f>
        <v>51.09</v>
      </c>
      <c r="K109" s="131">
        <f>'OP1 Rater'!GQ34</f>
        <v>57.12</v>
      </c>
      <c r="L109" s="131">
        <f>'OP1 Rater'!GR34</f>
        <v>63.08</v>
      </c>
      <c r="M109" s="131">
        <f>'OP1 Rater'!GS34</f>
        <v>69.03</v>
      </c>
      <c r="N109" s="131">
        <f>'OP1 Rater'!GT34</f>
        <v>80.26</v>
      </c>
      <c r="O109" s="131">
        <f>'OP1 Rater'!GU34</f>
        <v>85.6</v>
      </c>
      <c r="P109" s="131">
        <f>'OP1 Rater'!GV34</f>
        <v>90.95</v>
      </c>
      <c r="Q109" s="131">
        <f>'OP1 Rater'!GW34</f>
        <v>96.14</v>
      </c>
      <c r="R109" s="131">
        <f>'OP1 Rater'!GX34</f>
        <v>101.33</v>
      </c>
      <c r="S109" s="131">
        <f>'OP1 Rater'!GY34</f>
        <v>121.19</v>
      </c>
      <c r="T109" s="2"/>
      <c r="U109" s="2"/>
    </row>
    <row r="110" spans="1:21" ht="12.75">
      <c r="A110" s="134" t="str">
        <f>'OP1 Rater'!GG35</f>
        <v>Insured Plus Family</v>
      </c>
      <c r="B110" s="135"/>
      <c r="C110" s="124"/>
      <c r="D110" s="131">
        <f>'OP1 Rater'!GJ35</f>
        <v>11.45</v>
      </c>
      <c r="E110" s="131">
        <f>'OP1 Rater'!GK35</f>
        <v>22.45</v>
      </c>
      <c r="F110" s="131">
        <f>'OP1 Rater'!GL35</f>
        <v>32.68</v>
      </c>
      <c r="G110" s="131">
        <f>'OP1 Rater'!GM35</f>
        <v>42.53</v>
      </c>
      <c r="H110" s="131">
        <f>'OP1 Rater'!GN35</f>
        <v>51.62</v>
      </c>
      <c r="I110" s="131">
        <f>'OP1 Rater'!GO35</f>
        <v>60.48</v>
      </c>
      <c r="J110" s="131">
        <f>'OP1 Rater'!GP35</f>
        <v>69.19</v>
      </c>
      <c r="K110" s="131">
        <f>'OP1 Rater'!GQ35</f>
        <v>77.36</v>
      </c>
      <c r="L110" s="131">
        <f>'OP1 Rater'!GR35</f>
        <v>85.41</v>
      </c>
      <c r="M110" s="131">
        <f>'OP1 Rater'!GS35</f>
        <v>93.47</v>
      </c>
      <c r="N110" s="131">
        <f>'OP1 Rater'!GT35</f>
        <v>108.67</v>
      </c>
      <c r="O110" s="131">
        <f>'OP1 Rater'!GU35</f>
        <v>115.92</v>
      </c>
      <c r="P110" s="131">
        <f>'OP1 Rater'!GV35</f>
        <v>123.17</v>
      </c>
      <c r="Q110" s="131">
        <f>'OP1 Rater'!GW35</f>
        <v>130.2</v>
      </c>
      <c r="R110" s="131">
        <f>'OP1 Rater'!GX35</f>
        <v>137.23</v>
      </c>
      <c r="S110" s="131">
        <f>'OP1 Rater'!GY35</f>
        <v>164.11</v>
      </c>
      <c r="T110" s="2"/>
      <c r="U110" s="2"/>
    </row>
    <row r="111" spans="1:21" ht="12.75">
      <c r="A111" s="124"/>
      <c r="B111" s="124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  <c r="Q111" s="124"/>
      <c r="R111" s="124"/>
      <c r="S111" s="124"/>
      <c r="T111" s="2"/>
      <c r="U111" s="2"/>
    </row>
    <row r="112" spans="1:21" ht="12.75">
      <c r="A112" s="124"/>
      <c r="B112" s="124"/>
      <c r="C112" s="124"/>
      <c r="D112" s="126" t="str">
        <f>'OP1 Rater'!GJ38</f>
        <v>Insured with Attained Age 40 - 49</v>
      </c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  <c r="Q112" s="124"/>
      <c r="R112" s="124"/>
      <c r="S112" s="124"/>
      <c r="T112" s="2"/>
      <c r="U112" s="2"/>
    </row>
    <row r="113" spans="1:21" ht="6" customHeight="1">
      <c r="A113" s="124"/>
      <c r="B113" s="124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  <c r="Q113" s="124"/>
      <c r="R113" s="124"/>
      <c r="S113" s="124"/>
      <c r="T113" s="2"/>
      <c r="U113" s="2"/>
    </row>
    <row r="114" spans="1:21" ht="12.75">
      <c r="A114" s="124"/>
      <c r="B114" s="124"/>
      <c r="C114" s="124"/>
      <c r="D114" s="245" t="s">
        <v>5</v>
      </c>
      <c r="E114" s="246"/>
      <c r="F114" s="246"/>
      <c r="G114" s="246"/>
      <c r="H114" s="246"/>
      <c r="I114" s="246"/>
      <c r="J114" s="246"/>
      <c r="K114" s="246"/>
      <c r="L114" s="246"/>
      <c r="M114" s="246"/>
      <c r="N114" s="246"/>
      <c r="O114" s="246"/>
      <c r="P114" s="246"/>
      <c r="Q114" s="246"/>
      <c r="R114" s="246"/>
      <c r="S114" s="247"/>
      <c r="T114" s="2"/>
      <c r="U114" s="2"/>
    </row>
    <row r="115" spans="1:21" ht="12.75">
      <c r="A115" s="40"/>
      <c r="B115" s="124"/>
      <c r="C115" s="124"/>
      <c r="D115" s="128">
        <f>'OP1 Rater'!GJ41</f>
        <v>500</v>
      </c>
      <c r="E115" s="128">
        <f>'OP1 Rater'!GK41</f>
        <v>1000</v>
      </c>
      <c r="F115" s="128">
        <f>'OP1 Rater'!GL41</f>
        <v>1500</v>
      </c>
      <c r="G115" s="128">
        <f>'OP1 Rater'!GM41</f>
        <v>2000</v>
      </c>
      <c r="H115" s="128">
        <f>'OP1 Rater'!GN41</f>
        <v>2500</v>
      </c>
      <c r="I115" s="128">
        <f>'OP1 Rater'!GO41</f>
        <v>3000</v>
      </c>
      <c r="J115" s="128">
        <f>'OP1 Rater'!GP41</f>
        <v>3500</v>
      </c>
      <c r="K115" s="128">
        <f>'OP1 Rater'!GQ41</f>
        <v>4000</v>
      </c>
      <c r="L115" s="128">
        <f>'OP1 Rater'!GR41</f>
        <v>4500</v>
      </c>
      <c r="M115" s="128">
        <f>'OP1 Rater'!GS41</f>
        <v>5000</v>
      </c>
      <c r="N115" s="128">
        <f>'OP1 Rater'!GT41</f>
        <v>6000</v>
      </c>
      <c r="O115" s="128">
        <v>6500</v>
      </c>
      <c r="P115" s="128">
        <f>'OP1 Rater'!GV41</f>
        <v>7000</v>
      </c>
      <c r="Q115" s="128">
        <f>'OP1 Rater'!GW41</f>
        <v>7500</v>
      </c>
      <c r="R115" s="128">
        <f>'OP1 Rater'!GX41</f>
        <v>8000</v>
      </c>
      <c r="S115" s="128">
        <f>'OP1 Rater'!GY41</f>
        <v>10000</v>
      </c>
      <c r="T115" s="2"/>
      <c r="U115" s="2"/>
    </row>
    <row r="116" spans="1:21" ht="12.75">
      <c r="A116" s="129" t="str">
        <f>'OP1 Rater'!GG42</f>
        <v>Insured Only</v>
      </c>
      <c r="B116" s="130"/>
      <c r="C116" s="124"/>
      <c r="D116" s="131">
        <f>'OP1 Rater'!GJ42</f>
        <v>5.42</v>
      </c>
      <c r="E116" s="131">
        <f>'OP1 Rater'!GK42</f>
        <v>10.61</v>
      </c>
      <c r="F116" s="131">
        <f>'OP1 Rater'!GL42</f>
        <v>15.5</v>
      </c>
      <c r="G116" s="131">
        <f>'OP1 Rater'!GM42</f>
        <v>20.16</v>
      </c>
      <c r="H116" s="131">
        <f>'OP1 Rater'!GN42</f>
        <v>24.44</v>
      </c>
      <c r="I116" s="131">
        <f>'OP1 Rater'!GO42</f>
        <v>28.71</v>
      </c>
      <c r="J116" s="131">
        <f>'OP1 Rater'!GP42</f>
        <v>32.76</v>
      </c>
      <c r="K116" s="131">
        <f>'OP1 Rater'!GQ42</f>
        <v>36.65</v>
      </c>
      <c r="L116" s="131">
        <f>'OP1 Rater'!GR42</f>
        <v>40.47</v>
      </c>
      <c r="M116" s="131">
        <f>'OP1 Rater'!GS42</f>
        <v>44.29</v>
      </c>
      <c r="N116" s="131">
        <f>'OP1 Rater'!GT42</f>
        <v>51.47</v>
      </c>
      <c r="O116" s="131">
        <f>'OP1 Rater'!GU42</f>
        <v>54.91</v>
      </c>
      <c r="P116" s="131">
        <f>'OP1 Rater'!GV42</f>
        <v>58.34</v>
      </c>
      <c r="Q116" s="131">
        <f>'OP1 Rater'!GW42</f>
        <v>61.66</v>
      </c>
      <c r="R116" s="131">
        <f>'OP1 Rater'!GX42</f>
        <v>64.99</v>
      </c>
      <c r="S116" s="131">
        <f>'OP1 Rater'!GY42</f>
        <v>77.74</v>
      </c>
      <c r="T116" s="2"/>
      <c r="U116" s="2"/>
    </row>
    <row r="117" spans="1:21" ht="12.75">
      <c r="A117" s="132" t="str">
        <f>'OP1 Rater'!GG43</f>
        <v>Insured Plus Spouse</v>
      </c>
      <c r="B117" s="133"/>
      <c r="C117" s="124"/>
      <c r="D117" s="131">
        <f>'OP1 Rater'!GJ43</f>
        <v>9.77</v>
      </c>
      <c r="E117" s="131">
        <f>'OP1 Rater'!GK43</f>
        <v>19.09</v>
      </c>
      <c r="F117" s="131">
        <f>'OP1 Rater'!GL43</f>
        <v>27.87</v>
      </c>
      <c r="G117" s="131">
        <f>'OP1 Rater'!GM43</f>
        <v>36.27</v>
      </c>
      <c r="H117" s="131">
        <f>'OP1 Rater'!GN43</f>
        <v>43.99</v>
      </c>
      <c r="I117" s="131">
        <f>'OP1 Rater'!GO43</f>
        <v>51.7</v>
      </c>
      <c r="J117" s="131">
        <f>'OP1 Rater'!GP43</f>
        <v>58.95</v>
      </c>
      <c r="K117" s="131">
        <f>'OP1 Rater'!GQ43</f>
        <v>65.98</v>
      </c>
      <c r="L117" s="131">
        <f>'OP1 Rater'!GR43</f>
        <v>72.85</v>
      </c>
      <c r="M117" s="131">
        <f>'OP1 Rater'!GS43</f>
        <v>79.72</v>
      </c>
      <c r="N117" s="131">
        <f>'OP1 Rater'!GT43</f>
        <v>92.63</v>
      </c>
      <c r="O117" s="131">
        <f>'OP1 Rater'!GU43</f>
        <v>98.81</v>
      </c>
      <c r="P117" s="131">
        <f>'OP1 Rater'!GV43</f>
        <v>105</v>
      </c>
      <c r="Q117" s="131">
        <f>'OP1 Rater'!GW43</f>
        <v>110.99</v>
      </c>
      <c r="R117" s="131">
        <f>'OP1 Rater'!GX43</f>
        <v>116.99</v>
      </c>
      <c r="S117" s="131">
        <f>'OP1 Rater'!GY43</f>
        <v>139.9</v>
      </c>
      <c r="T117" s="2"/>
      <c r="U117" s="2"/>
    </row>
    <row r="118" spans="1:21" ht="12.75">
      <c r="A118" s="132" t="str">
        <f>'OP1 Rater'!GG44</f>
        <v>Insured Plus Children</v>
      </c>
      <c r="B118" s="133"/>
      <c r="C118" s="124"/>
      <c r="D118" s="131">
        <f>'OP1 Rater'!GJ44</f>
        <v>10.16</v>
      </c>
      <c r="E118" s="131">
        <f>'OP1 Rater'!GK44</f>
        <v>19.85</v>
      </c>
      <c r="F118" s="131">
        <f>'OP1 Rater'!GL44</f>
        <v>28.94</v>
      </c>
      <c r="G118" s="131">
        <f>'OP1 Rater'!GM44</f>
        <v>37.65</v>
      </c>
      <c r="H118" s="131">
        <f>'OP1 Rater'!GN44</f>
        <v>45.67</v>
      </c>
      <c r="I118" s="131">
        <f>'OP1 Rater'!GO44</f>
        <v>53.61</v>
      </c>
      <c r="J118" s="131">
        <f>'OP1 Rater'!GP44</f>
        <v>61.24</v>
      </c>
      <c r="K118" s="131">
        <f>'OP1 Rater'!GQ44</f>
        <v>68.5</v>
      </c>
      <c r="L118" s="131">
        <f>'OP1 Rater'!GR44</f>
        <v>75.64</v>
      </c>
      <c r="M118" s="131">
        <f>'OP1 Rater'!GS44</f>
        <v>82.78</v>
      </c>
      <c r="N118" s="131">
        <f>'OP1 Rater'!GT44</f>
        <v>96.22</v>
      </c>
      <c r="O118" s="131">
        <f>'OP1 Rater'!GU44</f>
        <v>102.63</v>
      </c>
      <c r="P118" s="131">
        <f>'OP1 Rater'!GV44</f>
        <v>109.05</v>
      </c>
      <c r="Q118" s="131">
        <f>'OP1 Rater'!GW44</f>
        <v>115.27</v>
      </c>
      <c r="R118" s="131">
        <f>'OP1 Rater'!GX44</f>
        <v>121.49</v>
      </c>
      <c r="S118" s="131">
        <f>'OP1 Rater'!GY44</f>
        <v>145.32</v>
      </c>
      <c r="T118" s="2"/>
      <c r="U118" s="2"/>
    </row>
    <row r="119" spans="1:21" ht="12.75">
      <c r="A119" s="134" t="str">
        <f>'OP1 Rater'!GG45</f>
        <v>Insured Plus Family</v>
      </c>
      <c r="B119" s="135"/>
      <c r="C119" s="124"/>
      <c r="D119" s="131">
        <f>'OP1 Rater'!GJ45</f>
        <v>14.51</v>
      </c>
      <c r="E119" s="131">
        <f>'OP1 Rater'!GK45</f>
        <v>28.33</v>
      </c>
      <c r="F119" s="131">
        <f>'OP1 Rater'!GL45</f>
        <v>41.31</v>
      </c>
      <c r="G119" s="131">
        <f>'OP1 Rater'!GM45</f>
        <v>53.76</v>
      </c>
      <c r="H119" s="131">
        <f>'OP1 Rater'!GN45</f>
        <v>65.21</v>
      </c>
      <c r="I119" s="131">
        <f>'OP1 Rater'!GO45</f>
        <v>76.59</v>
      </c>
      <c r="J119" s="131">
        <f>'OP1 Rater'!GP45</f>
        <v>87.44</v>
      </c>
      <c r="K119" s="131">
        <f>'OP1 Rater'!GQ45</f>
        <v>97.82</v>
      </c>
      <c r="L119" s="131">
        <f>'OP1 Rater'!GR45</f>
        <v>108.02</v>
      </c>
      <c r="M119" s="131">
        <f>'OP1 Rater'!GS45</f>
        <v>118.21</v>
      </c>
      <c r="N119" s="131">
        <f>'OP1 Rater'!GT45</f>
        <v>137.38</v>
      </c>
      <c r="O119" s="131">
        <f>'OP1 Rater'!GU45</f>
        <v>146.54</v>
      </c>
      <c r="P119" s="131">
        <f>'OP1 Rater'!GV45</f>
        <v>155.71</v>
      </c>
      <c r="Q119" s="131">
        <f>'OP1 Rater'!GW45</f>
        <v>164.6</v>
      </c>
      <c r="R119" s="131">
        <f>'OP1 Rater'!GX45</f>
        <v>173.5</v>
      </c>
      <c r="S119" s="131">
        <f>'OP1 Rater'!GY45</f>
        <v>207.48</v>
      </c>
      <c r="T119" s="2"/>
      <c r="U119" s="2"/>
    </row>
    <row r="120" spans="1:21" ht="12.75">
      <c r="A120" s="124"/>
      <c r="B120" s="124"/>
      <c r="C120" s="124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  <c r="P120" s="124"/>
      <c r="Q120" s="124"/>
      <c r="R120" s="124"/>
      <c r="S120" s="124"/>
      <c r="T120" s="2"/>
      <c r="U120" s="2"/>
    </row>
    <row r="121" spans="1:21" ht="12.75">
      <c r="A121" s="124"/>
      <c r="B121" s="124"/>
      <c r="C121" s="124"/>
      <c r="D121" s="126" t="str">
        <f>'OP1 Rater'!GJ48</f>
        <v>Insured with Attained Age 50+</v>
      </c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  <c r="Q121" s="124"/>
      <c r="R121" s="124"/>
      <c r="S121" s="124"/>
      <c r="T121" s="2"/>
      <c r="U121" s="2"/>
    </row>
    <row r="122" spans="1:21" ht="6" customHeight="1">
      <c r="A122" s="124"/>
      <c r="B122" s="124"/>
      <c r="C122" s="124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  <c r="Q122" s="124"/>
      <c r="R122" s="124"/>
      <c r="S122" s="124"/>
      <c r="T122" s="2"/>
      <c r="U122" s="2"/>
    </row>
    <row r="123" spans="1:21" ht="12.75">
      <c r="A123" s="124"/>
      <c r="B123" s="124"/>
      <c r="C123" s="124"/>
      <c r="D123" s="244" t="s">
        <v>5</v>
      </c>
      <c r="E123" s="244"/>
      <c r="F123" s="244"/>
      <c r="G123" s="244"/>
      <c r="H123" s="244"/>
      <c r="I123" s="244"/>
      <c r="J123" s="244"/>
      <c r="K123" s="244"/>
      <c r="L123" s="244"/>
      <c r="M123" s="244"/>
      <c r="N123" s="244"/>
      <c r="O123" s="244"/>
      <c r="P123" s="244"/>
      <c r="Q123" s="244"/>
      <c r="R123" s="244"/>
      <c r="S123" s="244"/>
      <c r="T123" s="2"/>
      <c r="U123" s="2"/>
    </row>
    <row r="124" spans="1:21" ht="12.75">
      <c r="A124" s="40"/>
      <c r="B124" s="124"/>
      <c r="C124" s="124"/>
      <c r="D124" s="128">
        <f>'OP1 Rater'!GJ51</f>
        <v>500</v>
      </c>
      <c r="E124" s="128">
        <f>'OP1 Rater'!GK51</f>
        <v>1000</v>
      </c>
      <c r="F124" s="128">
        <f>'OP1 Rater'!GL51</f>
        <v>1500</v>
      </c>
      <c r="G124" s="128">
        <f>'OP1 Rater'!GM51</f>
        <v>2000</v>
      </c>
      <c r="H124" s="128">
        <f>'OP1 Rater'!GN51</f>
        <v>2500</v>
      </c>
      <c r="I124" s="128">
        <f>'OP1 Rater'!GO51</f>
        <v>3000</v>
      </c>
      <c r="J124" s="128">
        <f>'OP1 Rater'!GP51</f>
        <v>3500</v>
      </c>
      <c r="K124" s="128">
        <f>'OP1 Rater'!GQ51</f>
        <v>4000</v>
      </c>
      <c r="L124" s="128">
        <f>'OP1 Rater'!GR51</f>
        <v>4500</v>
      </c>
      <c r="M124" s="128">
        <f>'OP1 Rater'!GS51</f>
        <v>5000</v>
      </c>
      <c r="N124" s="128">
        <f>'OP1 Rater'!GT51</f>
        <v>6000</v>
      </c>
      <c r="O124" s="128">
        <v>6500</v>
      </c>
      <c r="P124" s="128">
        <f>'OP1 Rater'!GV51</f>
        <v>7000</v>
      </c>
      <c r="Q124" s="128">
        <f>'OP1 Rater'!GW51</f>
        <v>7500</v>
      </c>
      <c r="R124" s="128">
        <f>'OP1 Rater'!GX51</f>
        <v>8000</v>
      </c>
      <c r="S124" s="128">
        <f>'OP1 Rater'!GY51</f>
        <v>10000</v>
      </c>
      <c r="T124" s="2"/>
      <c r="U124" s="2"/>
    </row>
    <row r="125" spans="1:21" ht="12.75">
      <c r="A125" s="129" t="str">
        <f>'OP1 Rater'!GG52</f>
        <v>Insured Only</v>
      </c>
      <c r="B125" s="130"/>
      <c r="C125" s="124"/>
      <c r="D125" s="131">
        <f>'OP1 Rater'!GJ52</f>
        <v>7.33</v>
      </c>
      <c r="E125" s="131">
        <f>'OP1 Rater'!GK52</f>
        <v>14.28</v>
      </c>
      <c r="F125" s="131">
        <f>'OP1 Rater'!GL52</f>
        <v>20.85</v>
      </c>
      <c r="G125" s="131">
        <f>'OP1 Rater'!GM52</f>
        <v>27.11</v>
      </c>
      <c r="H125" s="131">
        <f>'OP1 Rater'!GN52</f>
        <v>32.91</v>
      </c>
      <c r="I125" s="131">
        <f>'OP1 Rater'!GO52</f>
        <v>38.56</v>
      </c>
      <c r="J125" s="131">
        <f>'OP1 Rater'!GP52</f>
        <v>44.06</v>
      </c>
      <c r="K125" s="131">
        <f>'OP1 Rater'!GQ52</f>
        <v>49.25</v>
      </c>
      <c r="L125" s="131">
        <f>'OP1 Rater'!GR52</f>
        <v>54.41</v>
      </c>
      <c r="M125" s="131">
        <f>'OP1 Rater'!GS52</f>
        <v>59.56</v>
      </c>
      <c r="N125" s="131">
        <f>'OP1 Rater'!GT52</f>
        <v>69.26</v>
      </c>
      <c r="O125" s="131">
        <f>'OP1 Rater'!GU52</f>
        <v>73.88</v>
      </c>
      <c r="P125" s="131">
        <f>'OP1 Rater'!GV52</f>
        <v>78.5</v>
      </c>
      <c r="Q125" s="131">
        <f>'OP1 Rater'!GW52</f>
        <v>82.97</v>
      </c>
      <c r="R125" s="131">
        <f>'OP1 Rater'!GX52</f>
        <v>87.44</v>
      </c>
      <c r="S125" s="131">
        <f>'OP1 Rater'!GY52</f>
        <v>104.54</v>
      </c>
      <c r="T125" s="2"/>
      <c r="U125" s="2"/>
    </row>
    <row r="126" spans="1:21" ht="12.75">
      <c r="A126" s="132" t="str">
        <f>'OP1 Rater'!GG53</f>
        <v>Insured Plus Spouse</v>
      </c>
      <c r="B126" s="133"/>
      <c r="C126" s="124"/>
      <c r="D126" s="131">
        <f>'OP1 Rater'!GJ53</f>
        <v>13.21</v>
      </c>
      <c r="E126" s="131">
        <f>'OP1 Rater'!GK53</f>
        <v>25.73</v>
      </c>
      <c r="F126" s="131">
        <f>'OP1 Rater'!GL53</f>
        <v>37.49</v>
      </c>
      <c r="G126" s="131">
        <f>'OP1 Rater'!GM53</f>
        <v>48.8</v>
      </c>
      <c r="H126" s="131">
        <f>'OP1 Rater'!GN53</f>
        <v>59.26</v>
      </c>
      <c r="I126" s="131">
        <f>'OP1 Rater'!GO53</f>
        <v>69.41</v>
      </c>
      <c r="J126" s="131">
        <f>'OP1 Rater'!GP53</f>
        <v>79.34</v>
      </c>
      <c r="K126" s="131">
        <f>'OP1 Rater'!GQ53</f>
        <v>88.66</v>
      </c>
      <c r="L126" s="131">
        <f>'OP1 Rater'!GR53</f>
        <v>97.94</v>
      </c>
      <c r="M126" s="131">
        <f>'OP1 Rater'!GS53</f>
        <v>107.21</v>
      </c>
      <c r="N126" s="131">
        <f>'OP1 Rater'!GT53</f>
        <v>124.7</v>
      </c>
      <c r="O126" s="131">
        <f>'OP1 Rater'!GU53</f>
        <v>132.99</v>
      </c>
      <c r="P126" s="131">
        <f>'OP1 Rater'!GV53</f>
        <v>141.27</v>
      </c>
      <c r="Q126" s="131">
        <f>'OP1 Rater'!GW53</f>
        <v>149.33</v>
      </c>
      <c r="R126" s="131">
        <f>'OP1 Rater'!GX53</f>
        <v>157.39</v>
      </c>
      <c r="S126" s="131">
        <f>'OP1 Rater'!GY53</f>
        <v>188.16</v>
      </c>
      <c r="T126" s="2"/>
      <c r="U126" s="2"/>
    </row>
    <row r="127" spans="1:21" ht="12.75">
      <c r="A127" s="132" t="str">
        <f>'OP1 Rater'!GG54</f>
        <v>Insured Plus Children</v>
      </c>
      <c r="B127" s="133"/>
      <c r="C127" s="124"/>
      <c r="D127" s="131">
        <f>'OP1 Rater'!GJ54</f>
        <v>12.07</v>
      </c>
      <c r="E127" s="131">
        <f>'OP1 Rater'!GK54</f>
        <v>23.52</v>
      </c>
      <c r="F127" s="131">
        <f>'OP1 Rater'!GL54</f>
        <v>34.29</v>
      </c>
      <c r="G127" s="131">
        <f>'OP1 Rater'!GM54</f>
        <v>44.6</v>
      </c>
      <c r="H127" s="131">
        <f>'OP1 Rater'!GN54</f>
        <v>54.14</v>
      </c>
      <c r="I127" s="131">
        <f>'OP1 Rater'!GO54</f>
        <v>63.46</v>
      </c>
      <c r="J127" s="131">
        <f>'OP1 Rater'!GP54</f>
        <v>72.55</v>
      </c>
      <c r="K127" s="131">
        <f>'OP1 Rater'!GQ54</f>
        <v>81.1</v>
      </c>
      <c r="L127" s="131">
        <f>'OP1 Rater'!GR54</f>
        <v>89.57</v>
      </c>
      <c r="M127" s="131">
        <f>'OP1 Rater'!GS54</f>
        <v>98.05</v>
      </c>
      <c r="N127" s="131">
        <f>'OP1 Rater'!GT54</f>
        <v>114.01</v>
      </c>
      <c r="O127" s="131">
        <f>'OP1 Rater'!GU54</f>
        <v>121.61</v>
      </c>
      <c r="P127" s="131">
        <f>'OP1 Rater'!GV54</f>
        <v>129.21</v>
      </c>
      <c r="Q127" s="131">
        <f>'OP1 Rater'!GW54</f>
        <v>136.58</v>
      </c>
      <c r="R127" s="131">
        <f>'OP1 Rater'!GX54</f>
        <v>143.95</v>
      </c>
      <c r="S127" s="131">
        <f>'OP1 Rater'!GY54</f>
        <v>172.12</v>
      </c>
      <c r="T127" s="2"/>
      <c r="U127" s="2"/>
    </row>
    <row r="128" spans="1:21" ht="12.75">
      <c r="A128" s="134" t="str">
        <f>'OP1 Rater'!GG55</f>
        <v>Insured Plus Family</v>
      </c>
      <c r="B128" s="135"/>
      <c r="C128" s="124"/>
      <c r="D128" s="131">
        <f>'OP1 Rater'!GJ55</f>
        <v>17.95</v>
      </c>
      <c r="E128" s="131">
        <f>'OP1 Rater'!GK55</f>
        <v>34.97</v>
      </c>
      <c r="F128" s="131">
        <f>'OP1 Rater'!GL55</f>
        <v>50.93</v>
      </c>
      <c r="G128" s="131">
        <f>'OP1 Rater'!GM55</f>
        <v>66.28</v>
      </c>
      <c r="H128" s="131">
        <f>'OP1 Rater'!GN55</f>
        <v>80.49</v>
      </c>
      <c r="I128" s="131">
        <f>'OP1 Rater'!GO55</f>
        <v>94.31</v>
      </c>
      <c r="J128" s="131">
        <f>'OP1 Rater'!GP55</f>
        <v>107.83</v>
      </c>
      <c r="K128" s="131">
        <f>'OP1 Rater'!GQ55</f>
        <v>120.5</v>
      </c>
      <c r="L128" s="131">
        <f>'OP1 Rater'!GR55</f>
        <v>133.1</v>
      </c>
      <c r="M128" s="131">
        <f>'OP1 Rater'!GS55</f>
        <v>145.7</v>
      </c>
      <c r="N128" s="131">
        <f>'OP1 Rater'!GT55</f>
        <v>169.45</v>
      </c>
      <c r="O128" s="131">
        <f>'OP1 Rater'!GU55</f>
        <v>180.71</v>
      </c>
      <c r="P128" s="131">
        <f>'OP1 Rater'!GV55</f>
        <v>191.98</v>
      </c>
      <c r="Q128" s="131">
        <f>'OP1 Rater'!GW55</f>
        <v>202.94</v>
      </c>
      <c r="R128" s="131">
        <f>'OP1 Rater'!GX55</f>
        <v>213.89</v>
      </c>
      <c r="S128" s="131">
        <f>'OP1 Rater'!GY55</f>
        <v>255.74</v>
      </c>
      <c r="T128" s="2"/>
      <c r="U128" s="2"/>
    </row>
    <row r="129" spans="1:21" ht="12.75">
      <c r="A129" s="124"/>
      <c r="B129" s="124"/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124"/>
      <c r="Q129" s="124"/>
      <c r="R129" s="124"/>
      <c r="S129" s="124"/>
      <c r="T129" s="2"/>
      <c r="U129" s="2"/>
    </row>
    <row r="130" spans="1:21" ht="12.75">
      <c r="A130" s="124"/>
      <c r="B130" s="124"/>
      <c r="C130" s="124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  <c r="P130" s="124"/>
      <c r="Q130" s="124"/>
      <c r="R130" s="124"/>
      <c r="S130" s="124"/>
      <c r="T130" s="2"/>
      <c r="U130" s="2"/>
    </row>
    <row r="131" spans="1:21" ht="12.75">
      <c r="A131" s="124"/>
      <c r="B131" s="124"/>
      <c r="C131" s="124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  <c r="P131" s="124"/>
      <c r="Q131" s="124"/>
      <c r="R131" s="124"/>
      <c r="S131" s="124"/>
      <c r="T131" s="2"/>
      <c r="U131" s="2"/>
    </row>
    <row r="132" spans="1:21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1:21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1:21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1:21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1:21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1:21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1:21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1:21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1:21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1:21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1:21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1:21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1:21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1:21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1:21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1:21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1:21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1:21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spans="1:21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spans="1:21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spans="1:21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spans="1:21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spans="1:21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 spans="1:21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spans="1:21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spans="1:21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spans="1:21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0" spans="1:21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</row>
    <row r="161" spans="1:21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</row>
    <row r="162" spans="1:21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</row>
    <row r="163" spans="1:21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 spans="1:21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spans="1:21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</row>
    <row r="166" spans="1:21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spans="1:21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 spans="1:21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spans="1:21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spans="1:21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spans="1:21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</row>
    <row r="172" spans="1:21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</row>
    <row r="173" spans="1:21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spans="1:21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 spans="1:21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spans="1:21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spans="1:21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spans="1:21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spans="1:21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spans="1:21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1:21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1:21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1:21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1:21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1:21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1:21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1:21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1:21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1:21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spans="1:21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1:21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1:21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1:21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1:21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1:21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1:21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1:21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1:21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1:21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1:21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1:21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1:21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1:21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1:21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1:21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1:21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1:21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1:21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1:21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1:21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1:21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1:21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1:21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1:21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1:21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1:21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1:21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1:21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1:21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1:21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1:21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1:21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1:21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1:21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1:21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1:21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1:21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1:21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1:21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1:21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1:21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1:21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1:21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1:21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1:21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1:21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1:21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1:21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1:21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1:21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1:21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1:21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1:21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1:21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1:21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1:21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1:21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1:21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1:21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1:21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1:21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1:21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1:21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1:21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1:21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1:21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1:21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1:21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1:21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1:21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1:21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1:21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1:21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1:21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1:21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1:21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1:21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1:21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1:21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1:21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1:21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1:21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1:21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1:21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1:21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1:21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1:21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1:21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1:21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1:21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1:21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1:21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1:21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1:21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1:21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1:21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1:21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1:21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1:21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1:21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1:21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1:21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1:21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1:21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1:21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1:21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1:21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1:21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1:21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1:21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1:21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1:21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1:21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1:21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1:21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1:21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1:21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1:21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1:21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1:21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1:21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1:21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1:21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1:21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1:21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1:21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1:21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1:21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1:21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1:21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1:21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1:21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1:21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1:21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1:21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1:21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1:21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1:21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1:21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1:21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1:21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1:21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1:21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1:21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1:21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1:21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1:21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1:21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1:21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1:21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1:21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1:21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1:21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1:21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1:21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1:21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  <row r="348" spans="1:21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</row>
    <row r="349" spans="1:21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</row>
    <row r="350" spans="1:21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spans="1:21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</row>
    <row r="352" spans="1:21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</row>
    <row r="353" spans="1:21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</row>
    <row r="354" spans="1:21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</row>
    <row r="355" spans="1:21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</row>
    <row r="356" spans="1:21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</row>
    <row r="357" spans="1:21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</row>
    <row r="358" spans="1:21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</row>
    <row r="359" spans="1:21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</row>
    <row r="360" spans="1:21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</row>
    <row r="361" spans="1:21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</row>
    <row r="362" spans="1:21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</row>
    <row r="363" spans="1:21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</row>
    <row r="364" spans="1:21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</row>
    <row r="365" spans="1:21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</row>
    <row r="366" spans="1:21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</row>
    <row r="367" spans="1:21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</row>
    <row r="368" spans="1:21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</row>
    <row r="369" spans="1:21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</row>
    <row r="370" spans="1:21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</row>
    <row r="371" spans="1:21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</row>
    <row r="372" spans="1:21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</row>
    <row r="373" spans="1:21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</row>
    <row r="374" spans="1:21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</row>
    <row r="375" spans="1:21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</row>
    <row r="376" spans="1:21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</row>
    <row r="377" spans="1:21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</row>
    <row r="378" spans="1:21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</row>
    <row r="379" spans="1:21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</row>
    <row r="380" spans="1:21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</row>
    <row r="381" spans="1:21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</row>
    <row r="382" spans="1:21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</row>
    <row r="383" spans="1:21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</row>
    <row r="384" spans="1:21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</row>
    <row r="385" spans="1:21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</row>
    <row r="386" spans="1:21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</row>
    <row r="387" spans="1:21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</row>
    <row r="388" spans="1:21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</row>
    <row r="389" spans="1:21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</row>
    <row r="390" spans="1:21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</row>
    <row r="391" spans="1:21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</row>
    <row r="392" spans="1:21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</row>
    <row r="393" spans="1:21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</row>
    <row r="394" spans="1:21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</row>
    <row r="395" spans="1:21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</row>
    <row r="396" spans="1:21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</row>
    <row r="397" spans="1:21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</row>
    <row r="398" spans="1:21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</row>
    <row r="399" spans="1:21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</row>
    <row r="400" spans="1:21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</row>
    <row r="401" spans="1:21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</row>
    <row r="402" spans="1:21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</row>
    <row r="403" spans="1:21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</row>
    <row r="404" spans="1:21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</row>
    <row r="405" spans="1:21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</row>
    <row r="406" spans="1:21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</row>
    <row r="407" spans="1:21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</row>
    <row r="408" spans="1:21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</row>
    <row r="409" spans="1:21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</row>
    <row r="410" spans="1:21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</row>
    <row r="411" spans="1:21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</row>
    <row r="412" spans="1:21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</row>
    <row r="413" spans="1:21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</row>
    <row r="414" spans="1:21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</row>
    <row r="415" spans="1:21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</row>
    <row r="416" spans="1:21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</row>
    <row r="417" spans="1:21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</row>
    <row r="418" spans="1:21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</row>
    <row r="419" spans="1:21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</row>
    <row r="420" spans="1:21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</row>
    <row r="421" spans="1:21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</row>
    <row r="422" spans="1:21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</row>
    <row r="423" spans="1:21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</row>
    <row r="424" spans="1:21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</row>
    <row r="425" spans="1:21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</row>
    <row r="426" spans="1:21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</row>
    <row r="427" spans="1:21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</row>
    <row r="428" spans="1:21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</row>
    <row r="429" spans="1:21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</row>
    <row r="430" spans="1:21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</row>
    <row r="431" spans="1:21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</row>
    <row r="432" spans="1:21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</row>
    <row r="433" spans="1:21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</row>
    <row r="434" spans="1:21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</row>
    <row r="435" spans="1:21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</row>
    <row r="436" spans="1:21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</row>
    <row r="437" spans="1:21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</row>
    <row r="438" spans="1:21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</row>
    <row r="439" spans="1:21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</row>
    <row r="440" spans="1:21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</row>
    <row r="441" spans="1:21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</row>
    <row r="442" spans="1:21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</row>
    <row r="443" spans="1:21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</row>
    <row r="444" spans="1:21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</row>
    <row r="445" spans="1:21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</row>
    <row r="446" spans="1:21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</row>
    <row r="447" spans="1:21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</row>
    <row r="448" spans="1:21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</row>
    <row r="449" spans="1:21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</row>
    <row r="450" spans="1:21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</row>
    <row r="451" spans="1:21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</row>
    <row r="452" spans="1:21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</row>
    <row r="453" spans="1:21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</row>
    <row r="454" spans="1:21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</row>
    <row r="455" spans="1:21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</row>
    <row r="456" spans="1:21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</row>
    <row r="457" spans="1:21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</row>
    <row r="458" spans="1:21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</row>
    <row r="459" spans="1:21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</row>
    <row r="460" spans="1:21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</row>
    <row r="461" spans="1:21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</row>
    <row r="462" spans="1:21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</row>
    <row r="463" spans="1:21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</row>
    <row r="464" spans="1:21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</row>
    <row r="465" spans="1:21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</row>
    <row r="466" spans="1:21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</row>
    <row r="467" spans="1:21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</row>
    <row r="468" spans="1:21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</row>
    <row r="469" spans="1:21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</row>
    <row r="470" spans="1:21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</row>
    <row r="471" spans="1:21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</row>
    <row r="472" spans="1:21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</row>
    <row r="473" spans="1:21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</row>
    <row r="474" spans="1:21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</row>
    <row r="475" spans="1:21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</row>
    <row r="476" spans="1:21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</row>
    <row r="477" spans="1:21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</row>
    <row r="478" spans="1:21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</row>
    <row r="479" spans="1:21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</row>
    <row r="480" spans="1:21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</row>
    <row r="481" spans="1:21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</row>
    <row r="482" spans="1:21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</row>
    <row r="483" spans="1:21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</row>
    <row r="484" spans="1:21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</row>
    <row r="485" spans="1:21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</row>
    <row r="486" spans="1:21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</row>
    <row r="487" spans="1:21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</row>
    <row r="488" spans="1:21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</row>
    <row r="489" spans="1:21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</row>
    <row r="490" spans="1:21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</row>
    <row r="491" spans="1:21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</row>
    <row r="492" spans="1:21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</row>
    <row r="493" spans="1:21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</row>
    <row r="494" spans="1:21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</row>
    <row r="495" spans="1:21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</row>
    <row r="496" spans="1:21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</row>
    <row r="497" spans="1:21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</row>
    <row r="498" spans="1:21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</row>
    <row r="499" spans="1:21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</row>
    <row r="500" spans="1:21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</row>
    <row r="501" spans="1:21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</row>
    <row r="502" spans="1:21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</row>
    <row r="503" spans="1:21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</row>
    <row r="504" spans="1:21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</row>
    <row r="505" spans="1:21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</row>
    <row r="506" spans="1:21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</row>
    <row r="507" spans="1:21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</row>
    <row r="508" spans="1:21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</row>
    <row r="509" spans="1:21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</row>
    <row r="510" spans="1:21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</row>
    <row r="511" spans="1:21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</row>
    <row r="512" spans="1:21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</row>
    <row r="513" spans="1:21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</row>
    <row r="514" spans="1:21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</row>
    <row r="515" spans="1:21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</row>
    <row r="516" spans="1:21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</row>
    <row r="517" spans="1:21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</row>
    <row r="518" spans="1:21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</row>
    <row r="519" spans="1:21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</row>
    <row r="520" spans="1:21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</row>
    <row r="521" spans="1:21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</row>
    <row r="522" spans="1:21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</row>
    <row r="523" spans="1:21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</row>
    <row r="524" spans="1:21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</row>
    <row r="525" spans="1:21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</row>
    <row r="526" spans="1:21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</row>
    <row r="527" spans="1:21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</row>
    <row r="528" spans="1:21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</row>
    <row r="529" spans="1:21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</row>
    <row r="530" spans="1:21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</row>
    <row r="531" spans="1:21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</row>
    <row r="532" spans="1:21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</row>
    <row r="533" spans="1:21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</row>
    <row r="534" spans="1:21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</row>
    <row r="535" spans="1:21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</row>
    <row r="536" spans="1:21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</row>
    <row r="537" spans="1:21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</row>
    <row r="538" spans="1:21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</row>
    <row r="539" spans="1:21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</row>
    <row r="540" spans="1:21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</row>
    <row r="541" spans="1:21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</row>
    <row r="542" spans="1:21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</row>
    <row r="543" spans="1:21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</row>
    <row r="544" spans="1:21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</row>
    <row r="545" spans="1:21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</row>
    <row r="546" spans="1:21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</row>
    <row r="547" spans="1:21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</row>
    <row r="548" spans="1:21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</row>
    <row r="549" spans="1:21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</row>
    <row r="550" spans="1:21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</row>
    <row r="551" spans="1:21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</row>
    <row r="552" spans="1:21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</row>
    <row r="553" spans="1:21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</row>
    <row r="554" spans="1:21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</row>
    <row r="555" spans="1:21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</row>
    <row r="556" spans="1:21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</row>
    <row r="557" spans="1:21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</row>
    <row r="558" spans="1:21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</row>
    <row r="559" spans="1:21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</row>
    <row r="560" spans="1:21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</row>
    <row r="561" spans="1:21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</row>
    <row r="562" spans="1:21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</row>
    <row r="563" spans="1:21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</row>
    <row r="564" spans="1:21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</row>
    <row r="565" spans="1:21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</row>
    <row r="566" spans="1:21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</row>
    <row r="567" spans="1:21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</row>
    <row r="568" spans="1:21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</row>
    <row r="569" spans="1:21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</row>
    <row r="570" spans="1:21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</row>
    <row r="571" spans="1:21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</row>
    <row r="572" spans="1:21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</row>
    <row r="573" spans="1:21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</row>
    <row r="574" spans="1:21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</row>
    <row r="575" spans="1:21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</row>
    <row r="576" spans="1:21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</row>
    <row r="577" spans="1:21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</row>
    <row r="578" spans="1:21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</row>
    <row r="579" spans="1:21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</row>
    <row r="580" spans="1:21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</row>
    <row r="581" spans="1:21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</row>
    <row r="582" spans="1:21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</row>
    <row r="583" spans="1:21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</row>
    <row r="584" spans="1:21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</row>
    <row r="585" spans="1:21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</row>
    <row r="586" spans="1:21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</row>
    <row r="587" spans="1:21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</row>
    <row r="588" spans="1:21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</row>
    <row r="589" spans="1:21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</row>
    <row r="590" spans="1:21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</row>
    <row r="591" spans="1:21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</row>
    <row r="592" spans="1:21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</row>
    <row r="593" spans="1:21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</row>
    <row r="594" spans="1:21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</row>
    <row r="595" spans="1:21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</row>
    <row r="596" spans="1:21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</row>
    <row r="597" spans="1:21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</row>
    <row r="598" spans="1:21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</row>
    <row r="599" spans="1:21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</row>
    <row r="600" spans="1:21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</row>
    <row r="601" spans="1:21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</row>
    <row r="602" spans="1:21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</row>
    <row r="603" spans="1:21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</row>
    <row r="604" spans="1:21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</row>
    <row r="605" spans="1:21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</row>
    <row r="606" spans="1:21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</row>
    <row r="607" spans="1:21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</row>
    <row r="608" spans="1:21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</row>
    <row r="609" spans="1:21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</row>
    <row r="610" spans="1:21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</row>
    <row r="611" spans="1:21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</row>
    <row r="612" spans="1:21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</row>
    <row r="613" spans="1:21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</row>
    <row r="614" spans="1:21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</row>
    <row r="615" spans="1:21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</row>
    <row r="616" spans="1:21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</row>
    <row r="617" spans="1:21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</row>
    <row r="618" spans="1:21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</row>
    <row r="619" spans="1:21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</row>
    <row r="620" spans="1:21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</row>
    <row r="621" spans="1:21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</row>
    <row r="622" spans="1:21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</row>
    <row r="623" spans="1:21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</row>
    <row r="624" spans="1:21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</row>
    <row r="625" spans="1:21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</row>
    <row r="626" spans="1:21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</row>
    <row r="627" spans="1:21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</row>
    <row r="628" spans="1:21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</row>
    <row r="629" spans="1:21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</row>
    <row r="630" spans="1:21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</row>
    <row r="631" spans="1:21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</row>
    <row r="632" spans="1:21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</row>
    <row r="633" spans="1:21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</row>
    <row r="634" spans="1:21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</row>
    <row r="635" spans="1:21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</row>
    <row r="636" spans="1:21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</row>
    <row r="637" spans="1:21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</row>
    <row r="638" spans="1:21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</row>
    <row r="639" spans="1:21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</row>
    <row r="640" spans="1:21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</row>
    <row r="641" spans="1:21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</row>
    <row r="642" spans="1:21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</row>
    <row r="643" spans="1:21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</row>
    <row r="644" spans="1:21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</row>
    <row r="645" spans="1:21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</row>
    <row r="646" spans="1:21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</row>
    <row r="647" spans="1:21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</row>
    <row r="648" spans="1:21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</row>
    <row r="649" spans="1:21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</row>
    <row r="650" spans="1:21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</row>
    <row r="651" spans="1:21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</row>
    <row r="652" spans="1:21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</row>
    <row r="653" spans="1:21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</row>
    <row r="654" spans="1:21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</row>
    <row r="655" spans="1:21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</row>
    <row r="656" spans="1:21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</row>
    <row r="657" spans="1:21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</row>
    <row r="658" spans="1:21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</row>
    <row r="659" spans="1:21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</row>
    <row r="660" spans="1:21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</row>
    <row r="661" spans="1:21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</row>
    <row r="662" spans="1:21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</row>
    <row r="663" spans="1:21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</row>
    <row r="664" spans="1:21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</row>
    <row r="665" spans="1:21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</row>
    <row r="666" spans="1:21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</row>
    <row r="667" spans="1:21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</row>
    <row r="668" spans="1:21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</row>
    <row r="669" spans="1:21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</row>
    <row r="670" spans="1:21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</row>
    <row r="671" spans="1:21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</row>
    <row r="672" spans="1:21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</row>
    <row r="673" spans="1:21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</row>
    <row r="674" spans="1:21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</row>
    <row r="675" spans="1:21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</row>
    <row r="676" spans="1:21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</row>
    <row r="677" spans="1:21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</row>
    <row r="678" spans="1:21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</row>
    <row r="679" spans="1:21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</row>
    <row r="680" spans="1:21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</row>
    <row r="681" spans="1:21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</row>
    <row r="682" spans="1:21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</row>
    <row r="683" spans="1:21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</row>
    <row r="684" spans="1:21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</row>
    <row r="685" spans="1:21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</row>
    <row r="686" spans="1:21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</row>
    <row r="687" spans="1:21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</row>
    <row r="688" spans="1:21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</row>
    <row r="689" spans="1:21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</row>
    <row r="690" spans="1:21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</row>
    <row r="691" spans="1:21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</row>
    <row r="692" spans="1:21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</row>
    <row r="693" spans="1:21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</row>
    <row r="694" spans="1:21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</row>
    <row r="695" spans="1:21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</row>
    <row r="696" spans="1:21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</row>
    <row r="697" spans="1:21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</row>
    <row r="698" spans="1:21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</row>
    <row r="699" spans="1:21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</row>
    <row r="700" spans="1:21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</row>
    <row r="701" spans="1:21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</row>
    <row r="702" spans="1:21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</row>
    <row r="703" spans="1:21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</row>
    <row r="704" spans="1:21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</row>
    <row r="705" spans="1:21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</row>
    <row r="706" spans="1:21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</row>
    <row r="707" spans="1:21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</row>
    <row r="708" spans="1:21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</row>
    <row r="709" spans="1:21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</row>
    <row r="710" spans="1:21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</row>
    <row r="711" spans="1:21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</row>
    <row r="712" spans="1:21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</row>
    <row r="713" spans="1:21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</row>
    <row r="714" spans="1:21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</row>
    <row r="715" spans="1:21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</row>
    <row r="716" spans="1:21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</row>
    <row r="717" spans="1:21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</row>
    <row r="718" spans="1:21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</row>
    <row r="719" spans="1:21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</row>
    <row r="720" spans="1:21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</row>
    <row r="721" spans="1:21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</row>
    <row r="722" spans="1:21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</row>
    <row r="723" spans="1:21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</row>
    <row r="724" spans="1:21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</row>
    <row r="725" spans="1:21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</row>
    <row r="726" spans="1:21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</row>
    <row r="727" spans="1:21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</row>
    <row r="728" spans="1:21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</row>
    <row r="729" spans="1:21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</row>
    <row r="730" spans="1:21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</row>
    <row r="731" spans="1:21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</row>
    <row r="732" spans="1:21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</row>
    <row r="733" spans="1:21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</row>
    <row r="734" spans="1:21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</row>
    <row r="735" spans="1:21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</row>
    <row r="736" spans="1:21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</row>
    <row r="737" spans="1:21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</row>
    <row r="738" spans="1:21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</row>
    <row r="739" spans="1:21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</row>
    <row r="740" spans="1:21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</row>
    <row r="741" spans="1:21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</row>
    <row r="742" spans="1:21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</row>
    <row r="743" spans="1:21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</row>
    <row r="744" spans="1:21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</row>
    <row r="745" spans="1:21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</row>
    <row r="746" spans="1:21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</row>
    <row r="747" spans="1:21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</row>
    <row r="748" spans="1:21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</row>
    <row r="749" spans="1:21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</row>
    <row r="750" spans="1:21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</row>
    <row r="751" spans="1:21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</row>
    <row r="752" spans="1:21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</row>
    <row r="753" spans="1:21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</row>
    <row r="754" spans="1:21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</row>
    <row r="755" spans="1:21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</row>
    <row r="756" spans="1:21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</row>
  </sheetData>
  <sheetProtection password="DF46" sheet="1" selectLockedCells="1"/>
  <mergeCells count="14">
    <mergeCell ref="D114:S114"/>
    <mergeCell ref="D123:S123"/>
    <mergeCell ref="D15:S15"/>
    <mergeCell ref="D24:S24"/>
    <mergeCell ref="D33:S33"/>
    <mergeCell ref="D45:S45"/>
    <mergeCell ref="D54:S54"/>
    <mergeCell ref="D63:S63"/>
    <mergeCell ref="D8:S8"/>
    <mergeCell ref="D9:S9"/>
    <mergeCell ref="D75:S75"/>
    <mergeCell ref="D84:S84"/>
    <mergeCell ref="D93:S93"/>
    <mergeCell ref="D105:S105"/>
  </mergeCells>
  <printOptions/>
  <pageMargins left="0.22" right="0.2" top="0.35" bottom="0.32" header="0.3" footer="0.3"/>
  <pageSetup horizontalDpi="600" verticalDpi="600" orientation="landscape" scale="80" r:id="rId2"/>
  <headerFooter>
    <oddFooter>&amp;L&amp;8All States Rater v. 2013-09-01&amp;R&amp;8&amp;P</oddFooter>
  </headerFooter>
  <rowBreaks count="3" manualBreakCount="3">
    <brk id="39" max="255" man="1"/>
    <brk id="69" max="255" man="1"/>
    <brk id="99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P757"/>
  <sheetViews>
    <sheetView zoomScalePageLayoutView="0" workbookViewId="0" topLeftCell="A1">
      <selection activeCell="H108" sqref="H108"/>
    </sheetView>
  </sheetViews>
  <sheetFormatPr defaultColWidth="9.140625" defaultRowHeight="12.75"/>
  <cols>
    <col min="2" max="2" width="10.421875" style="0" customWidth="1"/>
    <col min="3" max="3" width="2.57421875" style="0" customWidth="1"/>
  </cols>
  <sheetData>
    <row r="1" spans="1:1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2.75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</row>
    <row r="8" spans="1:16" ht="12.75">
      <c r="A8" s="124"/>
      <c r="B8" s="124"/>
      <c r="C8" s="124"/>
      <c r="D8" s="205" t="s">
        <v>99</v>
      </c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124"/>
      <c r="P8" s="124"/>
    </row>
    <row r="9" spans="1:16" ht="12.75">
      <c r="A9" s="124"/>
      <c r="B9" s="124"/>
      <c r="C9" s="124"/>
      <c r="D9" s="243" t="s">
        <v>100</v>
      </c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124"/>
      <c r="P9" s="124"/>
    </row>
    <row r="10" spans="1:16" ht="25.5" customHeight="1">
      <c r="A10" s="124"/>
      <c r="B10" s="124"/>
      <c r="C10" s="124"/>
      <c r="D10" s="250" t="s">
        <v>123</v>
      </c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124"/>
      <c r="P10" s="124"/>
    </row>
    <row r="11" spans="1:16" ht="12.75">
      <c r="A11" s="124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</row>
    <row r="12" spans="1:16" ht="12.75">
      <c r="A12" s="125" t="str">
        <f>'OP1 Rater'!U24</f>
        <v>FLORIDA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</row>
    <row r="13" spans="1:16" ht="6" customHeight="1">
      <c r="A13" s="40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</row>
    <row r="14" spans="1:16" ht="12.75">
      <c r="A14" s="124"/>
      <c r="B14" s="124"/>
      <c r="C14" s="124"/>
      <c r="D14" s="126" t="str">
        <f>'OP1 Rater'!X28</f>
        <v>Insured with Attained Age Under 40</v>
      </c>
      <c r="E14" s="126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</row>
    <row r="15" spans="1:16" ht="6" customHeight="1">
      <c r="A15" s="124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</row>
    <row r="16" spans="1:16" ht="12.75">
      <c r="A16" s="124"/>
      <c r="B16" s="124"/>
      <c r="C16" s="124"/>
      <c r="D16" s="245" t="s">
        <v>5</v>
      </c>
      <c r="E16" s="246"/>
      <c r="F16" s="248"/>
      <c r="G16" s="248"/>
      <c r="H16" s="248"/>
      <c r="I16" s="248"/>
      <c r="J16" s="248"/>
      <c r="K16" s="248"/>
      <c r="L16" s="248"/>
      <c r="M16" s="248"/>
      <c r="N16" s="249"/>
      <c r="O16" s="124"/>
      <c r="P16" s="124"/>
    </row>
    <row r="17" spans="1:16" ht="12.75">
      <c r="A17" s="124"/>
      <c r="B17" s="124"/>
      <c r="C17" s="124"/>
      <c r="D17" s="128">
        <f>'OP1 Rater'!AO31</f>
        <v>200</v>
      </c>
      <c r="E17" s="128">
        <f>'OP1 Rater'!AP31</f>
        <v>250</v>
      </c>
      <c r="F17" s="128">
        <f>'OP1 Rater'!AQ31</f>
        <v>500</v>
      </c>
      <c r="G17" s="128">
        <f>'OP1 Rater'!AR31</f>
        <v>750</v>
      </c>
      <c r="H17" s="128">
        <f>'OP1 Rater'!AS31</f>
        <v>1000</v>
      </c>
      <c r="I17" s="128">
        <f>'OP1 Rater'!AT31</f>
        <v>1250</v>
      </c>
      <c r="J17" s="128">
        <f>'OP1 Rater'!AU31</f>
        <v>1500</v>
      </c>
      <c r="K17" s="128">
        <f>'OP1 Rater'!AV31</f>
        <v>1750</v>
      </c>
      <c r="L17" s="128">
        <f>'OP1 Rater'!AW31</f>
        <v>2000</v>
      </c>
      <c r="M17" s="128">
        <f>'OP1 Rater'!AX31</f>
        <v>2250</v>
      </c>
      <c r="N17" s="128">
        <f>'OP1 Rater'!AY31</f>
        <v>2500</v>
      </c>
      <c r="O17" s="124"/>
      <c r="P17" s="124"/>
    </row>
    <row r="18" spans="1:16" ht="12.75">
      <c r="A18" s="129" t="str">
        <f>'OP1 Rater'!U32</f>
        <v>Insured Only</v>
      </c>
      <c r="B18" s="130"/>
      <c r="C18" s="124"/>
      <c r="D18" s="131">
        <f>'OP1 Rater'!AO32</f>
        <v>3.95</v>
      </c>
      <c r="E18" s="131">
        <f>'OP1 Rater'!AP32</f>
        <v>4.7</v>
      </c>
      <c r="F18" s="131">
        <f>'OP1 Rater'!AQ32</f>
        <v>8.46</v>
      </c>
      <c r="G18" s="131">
        <f>'OP1 Rater'!AR32</f>
        <v>10.15</v>
      </c>
      <c r="H18" s="131">
        <f>'OP1 Rater'!AS32</f>
        <v>11.18</v>
      </c>
      <c r="I18" s="131">
        <f>'OP1 Rater'!AT32</f>
        <v>12.64</v>
      </c>
      <c r="J18" s="131">
        <f>'OP1 Rater'!AU32</f>
        <v>14.09</v>
      </c>
      <c r="K18" s="131">
        <f>'OP1 Rater'!AV32</f>
        <v>15.1</v>
      </c>
      <c r="L18" s="131">
        <f>'OP1 Rater'!AW32</f>
        <v>16.1</v>
      </c>
      <c r="M18" s="131">
        <f>'OP1 Rater'!AX32</f>
        <v>16.91</v>
      </c>
      <c r="N18" s="131">
        <f>'OP1 Rater'!AY32</f>
        <v>17.72</v>
      </c>
      <c r="O18" s="124"/>
      <c r="P18" s="124"/>
    </row>
    <row r="19" spans="1:16" ht="12.75">
      <c r="A19" s="132" t="str">
        <f>'OP1 Rater'!U33</f>
        <v>Insured Plus Spouse</v>
      </c>
      <c r="B19" s="133"/>
      <c r="C19" s="124"/>
      <c r="D19" s="131">
        <f>'OP1 Rater'!AO33</f>
        <v>7.1</v>
      </c>
      <c r="E19" s="131">
        <f>'OP1 Rater'!AP33</f>
        <v>8.45</v>
      </c>
      <c r="F19" s="131">
        <f>'OP1 Rater'!AQ33</f>
        <v>15.22</v>
      </c>
      <c r="G19" s="131">
        <f>'OP1 Rater'!AR33</f>
        <v>18.26</v>
      </c>
      <c r="H19" s="131">
        <f>'OP1 Rater'!AS33</f>
        <v>20.15</v>
      </c>
      <c r="I19" s="131">
        <f>'OP1 Rater'!AT33</f>
        <v>22.77</v>
      </c>
      <c r="J19" s="131">
        <f>'OP1 Rater'!AU33</f>
        <v>25.39</v>
      </c>
      <c r="K19" s="131">
        <f>'OP1 Rater'!AV33</f>
        <v>27.2</v>
      </c>
      <c r="L19" s="131">
        <f>'OP1 Rater'!AW33</f>
        <v>29</v>
      </c>
      <c r="M19" s="131">
        <f>'OP1 Rater'!AX33</f>
        <v>30.45</v>
      </c>
      <c r="N19" s="131">
        <f>'OP1 Rater'!AY33</f>
        <v>31.9</v>
      </c>
      <c r="O19" s="124"/>
      <c r="P19" s="124"/>
    </row>
    <row r="20" spans="1:16" ht="12.75">
      <c r="A20" s="132" t="str">
        <f>'OP1 Rater'!U34</f>
        <v>Insured Plus Children</v>
      </c>
      <c r="B20" s="133"/>
      <c r="C20" s="124"/>
      <c r="D20" s="131">
        <f>'OP1 Rater'!AO34</f>
        <v>8.53</v>
      </c>
      <c r="E20" s="131">
        <f>'OP1 Rater'!AP34</f>
        <v>10.16</v>
      </c>
      <c r="F20" s="131">
        <f>'OP1 Rater'!AQ34</f>
        <v>18.31</v>
      </c>
      <c r="G20" s="131">
        <f>'OP1 Rater'!AR34</f>
        <v>21.98</v>
      </c>
      <c r="H20" s="131">
        <f>'OP1 Rater'!AS34</f>
        <v>24.21</v>
      </c>
      <c r="I20" s="131">
        <f>'OP1 Rater'!AT34</f>
        <v>27.36</v>
      </c>
      <c r="J20" s="131">
        <f>'OP1 Rater'!AU34</f>
        <v>30.5</v>
      </c>
      <c r="K20" s="131">
        <f>'OP1 Rater'!AV34</f>
        <v>32.68</v>
      </c>
      <c r="L20" s="131">
        <f>'OP1 Rater'!AW34</f>
        <v>34.86</v>
      </c>
      <c r="M20" s="131">
        <f>'OP1 Rater'!AX34</f>
        <v>36.61</v>
      </c>
      <c r="N20" s="131">
        <f>'OP1 Rater'!AY34</f>
        <v>38.35</v>
      </c>
      <c r="O20" s="124"/>
      <c r="P20" s="124"/>
    </row>
    <row r="21" spans="1:16" ht="12.75">
      <c r="A21" s="134" t="str">
        <f>'OP1 Rater'!U35</f>
        <v>Insured Plus Family</v>
      </c>
      <c r="B21" s="135"/>
      <c r="C21" s="124"/>
      <c r="D21" s="131">
        <f>'OP1 Rater'!AO35</f>
        <v>11.68</v>
      </c>
      <c r="E21" s="131">
        <f>'OP1 Rater'!AP35</f>
        <v>13.91</v>
      </c>
      <c r="F21" s="131">
        <f>'OP1 Rater'!AQ35</f>
        <v>25.07</v>
      </c>
      <c r="G21" s="131">
        <f>'OP1 Rater'!AR35</f>
        <v>30.05</v>
      </c>
      <c r="H21" s="131">
        <f>'OP1 Rater'!AS35</f>
        <v>33.14</v>
      </c>
      <c r="I21" s="131">
        <f>'OP1 Rater'!AT35</f>
        <v>37.45</v>
      </c>
      <c r="J21" s="131">
        <f>'OP1 Rater'!AU35</f>
        <v>41.76</v>
      </c>
      <c r="K21" s="131">
        <f>'OP1 Rater'!AV35</f>
        <v>44.74</v>
      </c>
      <c r="L21" s="131">
        <f>'OP1 Rater'!AW35</f>
        <v>47.72</v>
      </c>
      <c r="M21" s="131">
        <f>'OP1 Rater'!AX35</f>
        <v>50.11</v>
      </c>
      <c r="N21" s="131">
        <f>'OP1 Rater'!AY35</f>
        <v>52.49</v>
      </c>
      <c r="O21" s="124"/>
      <c r="P21" s="124"/>
    </row>
    <row r="22" spans="1:16" ht="12.75">
      <c r="A22" s="124"/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</row>
    <row r="23" spans="1:16" ht="12.75">
      <c r="A23" s="124"/>
      <c r="B23" s="124"/>
      <c r="C23" s="124"/>
      <c r="D23" s="126" t="str">
        <f>'OP1 Rater'!X38</f>
        <v>Insured with Attained Age 40 - 49</v>
      </c>
      <c r="E23" s="126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</row>
    <row r="24" spans="1:16" ht="6" customHeight="1">
      <c r="A24" s="124"/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</row>
    <row r="25" spans="1:16" ht="12.75">
      <c r="A25" s="124"/>
      <c r="B25" s="124"/>
      <c r="C25" s="124"/>
      <c r="D25" s="245" t="s">
        <v>5</v>
      </c>
      <c r="E25" s="246"/>
      <c r="F25" s="248"/>
      <c r="G25" s="248"/>
      <c r="H25" s="248"/>
      <c r="I25" s="248"/>
      <c r="J25" s="248"/>
      <c r="K25" s="248"/>
      <c r="L25" s="248"/>
      <c r="M25" s="248"/>
      <c r="N25" s="249"/>
      <c r="O25" s="124"/>
      <c r="P25" s="124"/>
    </row>
    <row r="26" spans="1:16" ht="12.75">
      <c r="A26" s="124"/>
      <c r="B26" s="124"/>
      <c r="C26" s="124"/>
      <c r="D26" s="128">
        <f>'OP1 Rater'!AO41</f>
        <v>200</v>
      </c>
      <c r="E26" s="128">
        <f>'OP1 Rater'!AP41</f>
        <v>250</v>
      </c>
      <c r="F26" s="128">
        <f>'OP1 Rater'!AQ41</f>
        <v>500</v>
      </c>
      <c r="G26" s="128">
        <f>'OP1 Rater'!AR41</f>
        <v>750</v>
      </c>
      <c r="H26" s="128">
        <f>'OP1 Rater'!AS41</f>
        <v>1000</v>
      </c>
      <c r="I26" s="128">
        <f>'OP1 Rater'!AT41</f>
        <v>1250</v>
      </c>
      <c r="J26" s="128">
        <f>'OP1 Rater'!AU41</f>
        <v>1500</v>
      </c>
      <c r="K26" s="128">
        <f>'OP1 Rater'!AV41</f>
        <v>1750</v>
      </c>
      <c r="L26" s="128">
        <f>'OP1 Rater'!AW41</f>
        <v>2000</v>
      </c>
      <c r="M26" s="128">
        <f>'OP1 Rater'!AX41</f>
        <v>2250</v>
      </c>
      <c r="N26" s="128">
        <f>'OP1 Rater'!AY41</f>
        <v>2500</v>
      </c>
      <c r="O26" s="124"/>
      <c r="P26" s="124"/>
    </row>
    <row r="27" spans="1:16" ht="12.75">
      <c r="A27" s="129" t="str">
        <f>'OP1 Rater'!U42</f>
        <v>Insured Only</v>
      </c>
      <c r="B27" s="130"/>
      <c r="C27" s="124"/>
      <c r="D27" s="131">
        <f>'OP1 Rater'!AO42</f>
        <v>5</v>
      </c>
      <c r="E27" s="131">
        <f>'OP1 Rater'!AP42</f>
        <v>5.96</v>
      </c>
      <c r="F27" s="131">
        <f>'OP1 Rater'!AQ42</f>
        <v>10.71</v>
      </c>
      <c r="G27" s="131">
        <f>'OP1 Rater'!AR42</f>
        <v>12.85</v>
      </c>
      <c r="H27" s="131">
        <f>'OP1 Rater'!AS42</f>
        <v>14.16</v>
      </c>
      <c r="I27" s="131">
        <f>'OP1 Rater'!AT42</f>
        <v>16</v>
      </c>
      <c r="J27" s="131">
        <f>'OP1 Rater'!AU42</f>
        <v>17.84</v>
      </c>
      <c r="K27" s="131">
        <f>'OP1 Rater'!AV42</f>
        <v>19.11</v>
      </c>
      <c r="L27" s="131">
        <f>'OP1 Rater'!AW42</f>
        <v>20.39</v>
      </c>
      <c r="M27" s="131">
        <f>'OP1 Rater'!AX42</f>
        <v>21.41</v>
      </c>
      <c r="N27" s="131">
        <f>'OP1 Rater'!AY42</f>
        <v>22.42</v>
      </c>
      <c r="O27" s="124"/>
      <c r="P27" s="124"/>
    </row>
    <row r="28" spans="1:16" ht="12.75">
      <c r="A28" s="132" t="str">
        <f>'OP1 Rater'!U43</f>
        <v>Insured Plus Spouse</v>
      </c>
      <c r="B28" s="133"/>
      <c r="C28" s="124"/>
      <c r="D28" s="131">
        <f>'OP1 Rater'!AO43</f>
        <v>8.98</v>
      </c>
      <c r="E28" s="131">
        <f>'OP1 Rater'!AP43</f>
        <v>10.7</v>
      </c>
      <c r="F28" s="131">
        <f>'OP1 Rater'!AQ43</f>
        <v>19.28</v>
      </c>
      <c r="G28" s="131">
        <f>'OP1 Rater'!AR43</f>
        <v>23.11</v>
      </c>
      <c r="H28" s="131">
        <f>'OP1 Rater'!AS43</f>
        <v>25.48</v>
      </c>
      <c r="I28" s="131">
        <f>'OP1 Rater'!AT43</f>
        <v>28.8</v>
      </c>
      <c r="J28" s="131">
        <f>'OP1 Rater'!AU43</f>
        <v>32.11</v>
      </c>
      <c r="K28" s="131">
        <f>'OP1 Rater'!AV43</f>
        <v>34.4</v>
      </c>
      <c r="L28" s="131">
        <f>'OP1 Rater'!AW43</f>
        <v>36.7</v>
      </c>
      <c r="M28" s="131">
        <f>'OP1 Rater'!AX43</f>
        <v>38.53</v>
      </c>
      <c r="N28" s="131">
        <f>'OP1 Rater'!AY43</f>
        <v>40.36</v>
      </c>
      <c r="O28" s="124"/>
      <c r="P28" s="124"/>
    </row>
    <row r="29" spans="1:16" ht="12.75">
      <c r="A29" s="132" t="str">
        <f>'OP1 Rater'!U44</f>
        <v>Insured Plus Children</v>
      </c>
      <c r="B29" s="133"/>
      <c r="C29" s="124"/>
      <c r="D29" s="131">
        <f>'OP1 Rater'!AO44</f>
        <v>9.03</v>
      </c>
      <c r="E29" s="131">
        <f>'OP1 Rater'!AP44</f>
        <v>10.76</v>
      </c>
      <c r="F29" s="131">
        <f>'OP1 Rater'!AQ44</f>
        <v>19.38</v>
      </c>
      <c r="G29" s="131">
        <f>'OP1 Rater'!AR44</f>
        <v>23.26</v>
      </c>
      <c r="H29" s="131">
        <f>'OP1 Rater'!AS44</f>
        <v>25.63</v>
      </c>
      <c r="I29" s="131">
        <f>'OP1 Rater'!AT44</f>
        <v>28.96</v>
      </c>
      <c r="J29" s="131">
        <f>'OP1 Rater'!AU44</f>
        <v>32.3</v>
      </c>
      <c r="K29" s="131">
        <f>'OP1 Rater'!AV44</f>
        <v>34.61</v>
      </c>
      <c r="L29" s="131">
        <f>'OP1 Rater'!AW44</f>
        <v>36.92</v>
      </c>
      <c r="M29" s="131">
        <f>'OP1 Rater'!AX44</f>
        <v>38.76</v>
      </c>
      <c r="N29" s="131">
        <f>'OP1 Rater'!AY44</f>
        <v>40.62</v>
      </c>
      <c r="O29" s="124"/>
      <c r="P29" s="124"/>
    </row>
    <row r="30" spans="1:16" ht="12.75">
      <c r="A30" s="134" t="str">
        <f>'OP1 Rater'!U45</f>
        <v>Insured Plus Family</v>
      </c>
      <c r="B30" s="135"/>
      <c r="C30" s="124"/>
      <c r="D30" s="131">
        <f>'OP1 Rater'!AO45</f>
        <v>13.02</v>
      </c>
      <c r="E30" s="131">
        <f>'OP1 Rater'!AP45</f>
        <v>15.51</v>
      </c>
      <c r="F30" s="131">
        <f>'OP1 Rater'!AQ45</f>
        <v>27.96</v>
      </c>
      <c r="G30" s="131">
        <f>'OP1 Rater'!AR45</f>
        <v>33.51</v>
      </c>
      <c r="H30" s="131">
        <f>'OP1 Rater'!AS45</f>
        <v>36.94</v>
      </c>
      <c r="I30" s="131">
        <f>'OP1 Rater'!AT45</f>
        <v>41.74</v>
      </c>
      <c r="J30" s="131">
        <f>'OP1 Rater'!AU45</f>
        <v>46.55</v>
      </c>
      <c r="K30" s="131">
        <f>'OP1 Rater'!AV45</f>
        <v>49.87</v>
      </c>
      <c r="L30" s="131">
        <f>'OP1 Rater'!AW45</f>
        <v>53.19</v>
      </c>
      <c r="M30" s="131">
        <f>'OP1 Rater'!AX45</f>
        <v>55.85</v>
      </c>
      <c r="N30" s="131">
        <f>'OP1 Rater'!AY45</f>
        <v>58.5</v>
      </c>
      <c r="O30" s="124"/>
      <c r="P30" s="124"/>
    </row>
    <row r="31" spans="1:16" ht="12.75">
      <c r="A31" s="124"/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</row>
    <row r="32" spans="1:16" ht="12.75">
      <c r="A32" s="124"/>
      <c r="B32" s="124"/>
      <c r="C32" s="124"/>
      <c r="D32" s="126" t="str">
        <f>'OP1 Rater'!X48</f>
        <v>Insured with Attained Age 50+</v>
      </c>
      <c r="E32" s="126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</row>
    <row r="33" spans="1:16" ht="6" customHeight="1">
      <c r="A33" s="124"/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</row>
    <row r="34" spans="1:16" ht="12.75">
      <c r="A34" s="124"/>
      <c r="B34" s="124"/>
      <c r="C34" s="124"/>
      <c r="D34" s="245" t="s">
        <v>5</v>
      </c>
      <c r="E34" s="246"/>
      <c r="F34" s="248"/>
      <c r="G34" s="248"/>
      <c r="H34" s="248"/>
      <c r="I34" s="248"/>
      <c r="J34" s="248"/>
      <c r="K34" s="248"/>
      <c r="L34" s="248"/>
      <c r="M34" s="248"/>
      <c r="N34" s="249"/>
      <c r="O34" s="124"/>
      <c r="P34" s="124"/>
    </row>
    <row r="35" spans="1:16" ht="12.75">
      <c r="A35" s="124"/>
      <c r="B35" s="124"/>
      <c r="C35" s="124"/>
      <c r="D35" s="128">
        <f>'OP1 Rater'!AO51</f>
        <v>200</v>
      </c>
      <c r="E35" s="128">
        <f>'OP1 Rater'!AP51</f>
        <v>250</v>
      </c>
      <c r="F35" s="128">
        <f>'OP1 Rater'!AQ51</f>
        <v>500</v>
      </c>
      <c r="G35" s="128">
        <f>'OP1 Rater'!AR51</f>
        <v>750</v>
      </c>
      <c r="H35" s="128">
        <f>'OP1 Rater'!AS51</f>
        <v>1000</v>
      </c>
      <c r="I35" s="128">
        <f>'OP1 Rater'!AT51</f>
        <v>1250</v>
      </c>
      <c r="J35" s="128">
        <f>'OP1 Rater'!AU51</f>
        <v>1500</v>
      </c>
      <c r="K35" s="128">
        <f>'OP1 Rater'!AV51</f>
        <v>1750</v>
      </c>
      <c r="L35" s="128">
        <f>'OP1 Rater'!AW51</f>
        <v>2000</v>
      </c>
      <c r="M35" s="128">
        <f>'OP1 Rater'!AX51</f>
        <v>2250</v>
      </c>
      <c r="N35" s="128">
        <f>'OP1 Rater'!AY51</f>
        <v>2500</v>
      </c>
      <c r="O35" s="124"/>
      <c r="P35" s="124"/>
    </row>
    <row r="36" spans="1:16" ht="12.75">
      <c r="A36" s="129" t="str">
        <f>'OP1 Rater'!U52</f>
        <v>Insured Only</v>
      </c>
      <c r="B36" s="130"/>
      <c r="C36" s="124"/>
      <c r="D36" s="131">
        <f>'OP1 Rater'!AO52</f>
        <v>10.29</v>
      </c>
      <c r="E36" s="131">
        <f>'OP1 Rater'!AP52</f>
        <v>12.24</v>
      </c>
      <c r="F36" s="131">
        <f>'OP1 Rater'!AQ52</f>
        <v>22.03</v>
      </c>
      <c r="G36" s="131">
        <f>'OP1 Rater'!AR52</f>
        <v>26.42</v>
      </c>
      <c r="H36" s="131">
        <f>'OP1 Rater'!AS52</f>
        <v>29.11</v>
      </c>
      <c r="I36" s="131">
        <f>'OP1 Rater'!AT52</f>
        <v>32.89</v>
      </c>
      <c r="J36" s="131">
        <f>'OP1 Rater'!AU52</f>
        <v>36.68</v>
      </c>
      <c r="K36" s="131">
        <f>'OP1 Rater'!AV52</f>
        <v>39.3</v>
      </c>
      <c r="L36" s="131">
        <f>'OP1 Rater'!AW52</f>
        <v>41.92</v>
      </c>
      <c r="M36" s="131">
        <f>'OP1 Rater'!AX52</f>
        <v>44.02</v>
      </c>
      <c r="N36" s="131">
        <f>'OP1 Rater'!AY52</f>
        <v>46.12</v>
      </c>
      <c r="O36" s="124"/>
      <c r="P36" s="124"/>
    </row>
    <row r="37" spans="1:16" ht="12.75">
      <c r="A37" s="132" t="str">
        <f>'OP1 Rater'!U53</f>
        <v>Insured Plus Spouse</v>
      </c>
      <c r="B37" s="133"/>
      <c r="C37" s="124"/>
      <c r="D37" s="131">
        <f>'OP1 Rater'!AO53</f>
        <v>18.54</v>
      </c>
      <c r="E37" s="131">
        <f>'OP1 Rater'!AP53</f>
        <v>22.05</v>
      </c>
      <c r="F37" s="131">
        <f>'OP1 Rater'!AQ53</f>
        <v>39.62</v>
      </c>
      <c r="G37" s="131">
        <f>'OP1 Rater'!AR53</f>
        <v>47.54</v>
      </c>
      <c r="H37" s="131">
        <f>'OP1 Rater'!AS53</f>
        <v>52.38</v>
      </c>
      <c r="I37" s="131">
        <f>'OP1 Rater'!AT53</f>
        <v>59.19</v>
      </c>
      <c r="J37" s="131">
        <f>'OP1 Rater'!AU53</f>
        <v>66</v>
      </c>
      <c r="K37" s="131">
        <f>'OP1 Rater'!AV53</f>
        <v>70.72</v>
      </c>
      <c r="L37" s="131">
        <f>'OP1 Rater'!AW53</f>
        <v>75.43</v>
      </c>
      <c r="M37" s="131">
        <f>'OP1 Rater'!AX53</f>
        <v>79.2</v>
      </c>
      <c r="N37" s="131">
        <f>'OP1 Rater'!AY53</f>
        <v>82.98</v>
      </c>
      <c r="O37" s="124"/>
      <c r="P37" s="124"/>
    </row>
    <row r="38" spans="1:16" ht="12.75">
      <c r="A38" s="132" t="str">
        <f>'OP1 Rater'!U54</f>
        <v>Insured Plus Children</v>
      </c>
      <c r="B38" s="133"/>
      <c r="C38" s="124"/>
      <c r="D38" s="131">
        <f>'OP1 Rater'!AO54</f>
        <v>16.46</v>
      </c>
      <c r="E38" s="131">
        <f>'OP1 Rater'!AP54</f>
        <v>19.59</v>
      </c>
      <c r="F38" s="131">
        <f>'OP1 Rater'!AQ54</f>
        <v>35.23</v>
      </c>
      <c r="G38" s="131">
        <f>'OP1 Rater'!AR54</f>
        <v>42.31</v>
      </c>
      <c r="H38" s="131">
        <f>'OP1 Rater'!AS54</f>
        <v>46.62</v>
      </c>
      <c r="I38" s="131">
        <f>'OP1 Rater'!AT54</f>
        <v>52.68</v>
      </c>
      <c r="J38" s="131">
        <f>'OP1 Rater'!AU54</f>
        <v>58.74</v>
      </c>
      <c r="K38" s="131">
        <f>'OP1 Rater'!AV54</f>
        <v>62.93</v>
      </c>
      <c r="L38" s="131">
        <f>'OP1 Rater'!AW54</f>
        <v>67.12</v>
      </c>
      <c r="M38" s="131">
        <f>'OP1 Rater'!AX54</f>
        <v>70.48</v>
      </c>
      <c r="N38" s="131">
        <f>'OP1 Rater'!AY54</f>
        <v>73.83</v>
      </c>
      <c r="O38" s="124"/>
      <c r="P38" s="124"/>
    </row>
    <row r="39" spans="1:16" ht="12.75">
      <c r="A39" s="134" t="str">
        <f>'OP1 Rater'!U55</f>
        <v>Insured Plus Family</v>
      </c>
      <c r="B39" s="135"/>
      <c r="C39" s="124"/>
      <c r="D39" s="131">
        <f>'OP1 Rater'!AO55</f>
        <v>24.36</v>
      </c>
      <c r="E39" s="131">
        <f>'OP1 Rater'!AP55</f>
        <v>29.11</v>
      </c>
      <c r="F39" s="131">
        <f>'OP1 Rater'!AQ55</f>
        <v>52.85</v>
      </c>
      <c r="G39" s="131">
        <f>'OP1 Rater'!AR55</f>
        <v>63.38</v>
      </c>
      <c r="H39" s="131">
        <f>'OP1 Rater'!AS55</f>
        <v>69.85</v>
      </c>
      <c r="I39" s="131">
        <f>'OP1 Rater'!AT55</f>
        <v>78.92</v>
      </c>
      <c r="J39" s="131">
        <f>'OP1 Rater'!AU55</f>
        <v>88</v>
      </c>
      <c r="K39" s="131">
        <f>'OP1 Rater'!AV55</f>
        <v>94.29</v>
      </c>
      <c r="L39" s="131">
        <f>'OP1 Rater'!AW55</f>
        <v>100.58</v>
      </c>
      <c r="M39" s="131">
        <f>'OP1 Rater'!AX55</f>
        <v>105.62</v>
      </c>
      <c r="N39" s="131">
        <f>'OP1 Rater'!AY55</f>
        <v>110.65</v>
      </c>
      <c r="O39" s="124"/>
      <c r="P39" s="124"/>
    </row>
    <row r="40" spans="1:16" ht="12.75">
      <c r="A40" s="124"/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</row>
    <row r="41" spans="1:16" ht="12.75">
      <c r="A41" s="124"/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</row>
    <row r="42" spans="1:16" ht="12.75">
      <c r="A42" s="125" t="str">
        <f>'OP1 Rater'!BX24</f>
        <v>COLORADO &amp; INDIANA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</row>
    <row r="43" spans="1:16" ht="6" customHeight="1">
      <c r="A43" s="124"/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</row>
    <row r="44" spans="1:16" ht="12.75" customHeight="1">
      <c r="A44" s="124"/>
      <c r="B44" s="124"/>
      <c r="C44" s="124"/>
      <c r="D44" s="126" t="str">
        <f>'OP1 Rater'!CA28</f>
        <v>Insured with Attained Age Under 40</v>
      </c>
      <c r="E44" s="126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</row>
    <row r="45" spans="1:16" ht="6" customHeight="1">
      <c r="A45" s="124"/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</row>
    <row r="46" spans="1:16" ht="12.75" customHeight="1">
      <c r="A46" s="124"/>
      <c r="B46" s="124"/>
      <c r="C46" s="124"/>
      <c r="D46" s="245" t="s">
        <v>5</v>
      </c>
      <c r="E46" s="246"/>
      <c r="F46" s="248"/>
      <c r="G46" s="248"/>
      <c r="H46" s="248"/>
      <c r="I46" s="248"/>
      <c r="J46" s="248"/>
      <c r="K46" s="248"/>
      <c r="L46" s="248"/>
      <c r="M46" s="248"/>
      <c r="N46" s="249"/>
      <c r="O46" s="124"/>
      <c r="P46" s="124"/>
    </row>
    <row r="47" spans="1:16" ht="12.75">
      <c r="A47" s="40"/>
      <c r="B47" s="124"/>
      <c r="C47" s="124"/>
      <c r="D47" s="128">
        <f>'OP1 Rater'!CR31</f>
        <v>200</v>
      </c>
      <c r="E47" s="128">
        <f>'OP1 Rater'!CS31</f>
        <v>250</v>
      </c>
      <c r="F47" s="128">
        <f>'OP1 Rater'!CT31</f>
        <v>500</v>
      </c>
      <c r="G47" s="128">
        <f>'OP1 Rater'!CU31</f>
        <v>750</v>
      </c>
      <c r="H47" s="128">
        <f>'OP1 Rater'!CV31</f>
        <v>1000</v>
      </c>
      <c r="I47" s="128">
        <f>'OP1 Rater'!CW31</f>
        <v>1250</v>
      </c>
      <c r="J47" s="128">
        <f>'OP1 Rater'!CX31</f>
        <v>1500</v>
      </c>
      <c r="K47" s="128">
        <f>'OP1 Rater'!CY31</f>
        <v>1750</v>
      </c>
      <c r="L47" s="128">
        <f>'OP1 Rater'!CZ31</f>
        <v>2000</v>
      </c>
      <c r="M47" s="128">
        <f>'OP1 Rater'!DA31</f>
        <v>2250</v>
      </c>
      <c r="N47" s="128">
        <f>'OP1 Rater'!DB31</f>
        <v>2500</v>
      </c>
      <c r="O47" s="124"/>
      <c r="P47" s="124"/>
    </row>
    <row r="48" spans="1:16" ht="12.75">
      <c r="A48" s="129" t="str">
        <f>'OP1 Rater'!BX32</f>
        <v>Insured Only</v>
      </c>
      <c r="B48" s="130"/>
      <c r="C48" s="124"/>
      <c r="D48" s="131">
        <f>'OP1 Rater'!CR32</f>
        <v>4.28</v>
      </c>
      <c r="E48" s="131">
        <f>'OP1 Rater'!CS32</f>
        <v>5.1</v>
      </c>
      <c r="F48" s="131">
        <f>'OP1 Rater'!CT32</f>
        <v>9.17</v>
      </c>
      <c r="G48" s="131">
        <f>'OP1 Rater'!CU32</f>
        <v>11</v>
      </c>
      <c r="H48" s="131">
        <f>'OP1 Rater'!CV32</f>
        <v>12.11</v>
      </c>
      <c r="I48" s="131">
        <f>'OP1 Rater'!CW32</f>
        <v>13.69</v>
      </c>
      <c r="J48" s="131">
        <f>'OP1 Rater'!CX32</f>
        <v>15.26</v>
      </c>
      <c r="K48" s="131">
        <f>'OP1 Rater'!CY32</f>
        <v>16.36</v>
      </c>
      <c r="L48" s="131">
        <f>'OP1 Rater'!CZ32</f>
        <v>17.45</v>
      </c>
      <c r="M48" s="131">
        <f>'OP1 Rater'!DA32</f>
        <v>18.32</v>
      </c>
      <c r="N48" s="131">
        <f>'OP1 Rater'!DB32</f>
        <v>19.19</v>
      </c>
      <c r="O48" s="124"/>
      <c r="P48" s="124"/>
    </row>
    <row r="49" spans="1:16" ht="12.75">
      <c r="A49" s="132" t="str">
        <f>'OP1 Rater'!BX33</f>
        <v>Insured Plus Spouse</v>
      </c>
      <c r="B49" s="133"/>
      <c r="C49" s="124"/>
      <c r="D49" s="131">
        <f>'OP1 Rater'!CR33</f>
        <v>7.69</v>
      </c>
      <c r="E49" s="131">
        <f>'OP1 Rater'!CS33</f>
        <v>9.16</v>
      </c>
      <c r="F49" s="131">
        <f>'OP1 Rater'!CT33</f>
        <v>16.49</v>
      </c>
      <c r="G49" s="131">
        <f>'OP1 Rater'!CU33</f>
        <v>19.78</v>
      </c>
      <c r="H49" s="131">
        <f>'OP1 Rater'!CV33</f>
        <v>21.82</v>
      </c>
      <c r="I49" s="131">
        <f>'OP1 Rater'!CW33</f>
        <v>24.66</v>
      </c>
      <c r="J49" s="131">
        <f>'OP1 Rater'!CX33</f>
        <v>27.5</v>
      </c>
      <c r="K49" s="131">
        <f>'OP1 Rater'!CY33</f>
        <v>29.46</v>
      </c>
      <c r="L49" s="131">
        <f>'OP1 Rater'!CZ33</f>
        <v>31.42</v>
      </c>
      <c r="M49" s="131">
        <f>'OP1 Rater'!DA33</f>
        <v>32.99</v>
      </c>
      <c r="N49" s="131">
        <f>'OP1 Rater'!DB33</f>
        <v>34.56</v>
      </c>
      <c r="O49" s="124"/>
      <c r="P49" s="124"/>
    </row>
    <row r="50" spans="1:16" ht="12.75">
      <c r="A50" s="132" t="str">
        <f>'OP1 Rater'!BX34</f>
        <v>Insured Plus Children</v>
      </c>
      <c r="B50" s="133"/>
      <c r="C50" s="124"/>
      <c r="D50" s="131">
        <f>'OP1 Rater'!CR34</f>
        <v>9.24</v>
      </c>
      <c r="E50" s="131">
        <f>'OP1 Rater'!CS34</f>
        <v>11.01</v>
      </c>
      <c r="F50" s="131">
        <f>'OP1 Rater'!CT34</f>
        <v>19.84</v>
      </c>
      <c r="G50" s="131">
        <f>'OP1 Rater'!CU34</f>
        <v>23.81</v>
      </c>
      <c r="H50" s="131">
        <f>'OP1 Rater'!CV34</f>
        <v>26.23</v>
      </c>
      <c r="I50" s="131">
        <f>'OP1 Rater'!CW34</f>
        <v>29.64</v>
      </c>
      <c r="J50" s="131">
        <f>'OP1 Rater'!CX34</f>
        <v>33.05</v>
      </c>
      <c r="K50" s="131">
        <f>'OP1 Rater'!CY34</f>
        <v>35.41</v>
      </c>
      <c r="L50" s="131">
        <f>'OP1 Rater'!CZ34</f>
        <v>37.77</v>
      </c>
      <c r="M50" s="131">
        <f>'OP1 Rater'!DA34</f>
        <v>39.66</v>
      </c>
      <c r="N50" s="131">
        <f>'OP1 Rater'!DB34</f>
        <v>41.55</v>
      </c>
      <c r="O50" s="124"/>
      <c r="P50" s="124"/>
    </row>
    <row r="51" spans="1:16" ht="12.75">
      <c r="A51" s="134" t="str">
        <f>'OP1 Rater'!BX35</f>
        <v>Insured Plus Family</v>
      </c>
      <c r="B51" s="135"/>
      <c r="C51" s="124"/>
      <c r="D51" s="131">
        <f>'OP1 Rater'!CR35</f>
        <v>12.65</v>
      </c>
      <c r="E51" s="131">
        <f>'OP1 Rater'!CS35</f>
        <v>15.07</v>
      </c>
      <c r="F51" s="131">
        <f>'OP1 Rater'!CT35</f>
        <v>27.16</v>
      </c>
      <c r="G51" s="131">
        <f>'OP1 Rater'!CU35</f>
        <v>32.55</v>
      </c>
      <c r="H51" s="131">
        <f>'OP1 Rater'!CV35</f>
        <v>35.9</v>
      </c>
      <c r="I51" s="131">
        <f>'OP1 Rater'!CW35</f>
        <v>40.57</v>
      </c>
      <c r="J51" s="131">
        <f>'OP1 Rater'!CX35</f>
        <v>45.24</v>
      </c>
      <c r="K51" s="131">
        <f>'OP1 Rater'!CY35</f>
        <v>48.47</v>
      </c>
      <c r="L51" s="131">
        <f>'OP1 Rater'!CZ35</f>
        <v>51.7</v>
      </c>
      <c r="M51" s="131">
        <f>'OP1 Rater'!DA35</f>
        <v>54.28</v>
      </c>
      <c r="N51" s="131">
        <f>'OP1 Rater'!DB35</f>
        <v>56.86</v>
      </c>
      <c r="O51" s="124"/>
      <c r="P51" s="124"/>
    </row>
    <row r="52" spans="1:16" ht="12.75">
      <c r="A52" s="124"/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</row>
    <row r="53" spans="1:16" ht="12.75">
      <c r="A53" s="124"/>
      <c r="B53" s="124"/>
      <c r="C53" s="124"/>
      <c r="D53" s="126" t="str">
        <f>'OP1 Rater'!CA38</f>
        <v>Insured with Attained Age 40 - 49</v>
      </c>
      <c r="E53" s="126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</row>
    <row r="54" spans="1:16" ht="6" customHeight="1">
      <c r="A54" s="124"/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</row>
    <row r="55" spans="1:16" ht="12.75">
      <c r="A55" s="124"/>
      <c r="B55" s="124"/>
      <c r="C55" s="124"/>
      <c r="D55" s="245" t="s">
        <v>5</v>
      </c>
      <c r="E55" s="246"/>
      <c r="F55" s="248"/>
      <c r="G55" s="248"/>
      <c r="H55" s="248"/>
      <c r="I55" s="248"/>
      <c r="J55" s="248"/>
      <c r="K55" s="248"/>
      <c r="L55" s="248"/>
      <c r="M55" s="248"/>
      <c r="N55" s="249"/>
      <c r="O55" s="124"/>
      <c r="P55" s="124"/>
    </row>
    <row r="56" spans="1:16" ht="12.75">
      <c r="A56" s="40"/>
      <c r="B56" s="124"/>
      <c r="C56" s="124"/>
      <c r="D56" s="128">
        <f>'OP1 Rater'!CR41</f>
        <v>200</v>
      </c>
      <c r="E56" s="128">
        <f>'OP1 Rater'!CS41</f>
        <v>250</v>
      </c>
      <c r="F56" s="128">
        <f>'OP1 Rater'!CT41</f>
        <v>500</v>
      </c>
      <c r="G56" s="128">
        <f>'OP1 Rater'!CU41</f>
        <v>750</v>
      </c>
      <c r="H56" s="128">
        <f>'OP1 Rater'!CV41</f>
        <v>1000</v>
      </c>
      <c r="I56" s="128">
        <f>'OP1 Rater'!CW41</f>
        <v>1250</v>
      </c>
      <c r="J56" s="128">
        <f>'OP1 Rater'!CX41</f>
        <v>1500</v>
      </c>
      <c r="K56" s="128">
        <f>'OP1 Rater'!CY41</f>
        <v>1750</v>
      </c>
      <c r="L56" s="128">
        <f>'OP1 Rater'!CZ41</f>
        <v>2000</v>
      </c>
      <c r="M56" s="128">
        <f>'OP1 Rater'!DA41</f>
        <v>2250</v>
      </c>
      <c r="N56" s="128">
        <f>'OP1 Rater'!DB41</f>
        <v>2500</v>
      </c>
      <c r="O56" s="124"/>
      <c r="P56" s="124"/>
    </row>
    <row r="57" spans="1:16" ht="12.75">
      <c r="A57" s="129" t="str">
        <f>'OP1 Rater'!BX42</f>
        <v>Insured Only</v>
      </c>
      <c r="B57" s="130"/>
      <c r="C57" s="124"/>
      <c r="D57" s="131">
        <f>'OP1 Rater'!CR42</f>
        <v>5.42</v>
      </c>
      <c r="E57" s="131">
        <f>'OP1 Rater'!CS42</f>
        <v>6.45</v>
      </c>
      <c r="F57" s="131">
        <f>'OP1 Rater'!CT42</f>
        <v>11.61</v>
      </c>
      <c r="G57" s="131">
        <f>'OP1 Rater'!CU42</f>
        <v>13.92</v>
      </c>
      <c r="H57" s="131">
        <f>'OP1 Rater'!CV42</f>
        <v>15.34</v>
      </c>
      <c r="I57" s="131">
        <f>'OP1 Rater'!CW42</f>
        <v>17.33</v>
      </c>
      <c r="J57" s="131">
        <f>'OP1 Rater'!CX42</f>
        <v>19.33</v>
      </c>
      <c r="K57" s="131">
        <f>'OP1 Rater'!CY42</f>
        <v>20.71</v>
      </c>
      <c r="L57" s="131">
        <f>'OP1 Rater'!CZ42</f>
        <v>22.09</v>
      </c>
      <c r="M57" s="131">
        <f>'OP1 Rater'!DA42</f>
        <v>23.19</v>
      </c>
      <c r="N57" s="131">
        <f>'OP1 Rater'!DB42</f>
        <v>24.29</v>
      </c>
      <c r="O57" s="124"/>
      <c r="P57" s="124"/>
    </row>
    <row r="58" spans="1:16" ht="12.75">
      <c r="A58" s="132" t="str">
        <f>'OP1 Rater'!BX43</f>
        <v>Insured Plus Spouse</v>
      </c>
      <c r="B58" s="133"/>
      <c r="C58" s="124"/>
      <c r="D58" s="131">
        <f>'OP1 Rater'!CR43</f>
        <v>9.73</v>
      </c>
      <c r="E58" s="131">
        <f>'OP1 Rater'!CS43</f>
        <v>11.59</v>
      </c>
      <c r="F58" s="131">
        <f>'OP1 Rater'!CT43</f>
        <v>20.88</v>
      </c>
      <c r="G58" s="131">
        <f>'OP1 Rater'!CU43</f>
        <v>25.04</v>
      </c>
      <c r="H58" s="131">
        <f>'OP1 Rater'!CV43</f>
        <v>27.61</v>
      </c>
      <c r="I58" s="131">
        <f>'OP1 Rater'!CW43</f>
        <v>31.2</v>
      </c>
      <c r="J58" s="131">
        <f>'OP1 Rater'!CX43</f>
        <v>34.79</v>
      </c>
      <c r="K58" s="131">
        <f>'OP1 Rater'!CY43</f>
        <v>37.27</v>
      </c>
      <c r="L58" s="131">
        <f>'OP1 Rater'!CZ43</f>
        <v>39.75</v>
      </c>
      <c r="M58" s="131">
        <f>'OP1 Rater'!DA43</f>
        <v>41.74</v>
      </c>
      <c r="N58" s="131">
        <f>'OP1 Rater'!DB43</f>
        <v>43.72</v>
      </c>
      <c r="O58" s="124"/>
      <c r="P58" s="124"/>
    </row>
    <row r="59" spans="1:16" ht="12.75">
      <c r="A59" s="132" t="str">
        <f>'OP1 Rater'!BX44</f>
        <v>Insured Plus Children</v>
      </c>
      <c r="B59" s="133"/>
      <c r="C59" s="124"/>
      <c r="D59" s="131">
        <f>'OP1 Rater'!CR44</f>
        <v>9.79</v>
      </c>
      <c r="E59" s="131">
        <f>'OP1 Rater'!CS44</f>
        <v>11.65</v>
      </c>
      <c r="F59" s="131">
        <f>'OP1 Rater'!CT44</f>
        <v>20.99</v>
      </c>
      <c r="G59" s="131">
        <f>'OP1 Rater'!CU44</f>
        <v>25.2</v>
      </c>
      <c r="H59" s="131">
        <f>'OP1 Rater'!CV44</f>
        <v>27.77</v>
      </c>
      <c r="I59" s="131">
        <f>'OP1 Rater'!CW44</f>
        <v>31.38</v>
      </c>
      <c r="J59" s="131">
        <f>'OP1 Rater'!CX44</f>
        <v>34.99</v>
      </c>
      <c r="K59" s="131">
        <f>'OP1 Rater'!CY44</f>
        <v>37.49</v>
      </c>
      <c r="L59" s="131">
        <f>'OP1 Rater'!CZ44</f>
        <v>39.99</v>
      </c>
      <c r="M59" s="131">
        <f>'OP1 Rater'!DA44</f>
        <v>41.99</v>
      </c>
      <c r="N59" s="131">
        <f>'OP1 Rater'!DB44</f>
        <v>44</v>
      </c>
      <c r="O59" s="124"/>
      <c r="P59" s="124"/>
    </row>
    <row r="60" spans="1:16" ht="12.75">
      <c r="A60" s="134" t="str">
        <f>'OP1 Rater'!BX45</f>
        <v>Insured Plus Family</v>
      </c>
      <c r="B60" s="135"/>
      <c r="C60" s="124"/>
      <c r="D60" s="131">
        <f>'OP1 Rater'!CR45</f>
        <v>14.1</v>
      </c>
      <c r="E60" s="131">
        <f>'OP1 Rater'!CS45</f>
        <v>16.8</v>
      </c>
      <c r="F60" s="131">
        <f>'OP1 Rater'!CT45</f>
        <v>30.29</v>
      </c>
      <c r="G60" s="131">
        <f>'OP1 Rater'!CU45</f>
        <v>36.3</v>
      </c>
      <c r="H60" s="131">
        <f>'OP1 Rater'!CV45</f>
        <v>40.02</v>
      </c>
      <c r="I60" s="131">
        <f>'OP1 Rater'!CW45</f>
        <v>45.22</v>
      </c>
      <c r="J60" s="131">
        <f>'OP1 Rater'!CX45</f>
        <v>50.42</v>
      </c>
      <c r="K60" s="131">
        <f>'OP1 Rater'!CY45</f>
        <v>54.02</v>
      </c>
      <c r="L60" s="131">
        <f>'OP1 Rater'!CZ45</f>
        <v>57.62</v>
      </c>
      <c r="M60" s="131">
        <f>'OP1 Rater'!DA45</f>
        <v>60.5</v>
      </c>
      <c r="N60" s="131">
        <f>'OP1 Rater'!DB45</f>
        <v>63.37</v>
      </c>
      <c r="O60" s="124"/>
      <c r="P60" s="124"/>
    </row>
    <row r="61" spans="1:16" ht="12.75">
      <c r="A61" s="124"/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</row>
    <row r="62" spans="1:16" ht="12.75">
      <c r="A62" s="124"/>
      <c r="B62" s="124"/>
      <c r="C62" s="124"/>
      <c r="D62" s="126" t="str">
        <f>'OP1 Rater'!CA48</f>
        <v>Insured with Attained Age 50+</v>
      </c>
      <c r="E62" s="126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</row>
    <row r="63" spans="1:16" ht="6" customHeight="1">
      <c r="A63" s="124"/>
      <c r="B63" s="124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</row>
    <row r="64" spans="1:16" ht="12.75">
      <c r="A64" s="124"/>
      <c r="B64" s="124"/>
      <c r="C64" s="124"/>
      <c r="D64" s="245" t="s">
        <v>5</v>
      </c>
      <c r="E64" s="246"/>
      <c r="F64" s="248"/>
      <c r="G64" s="248"/>
      <c r="H64" s="248"/>
      <c r="I64" s="248"/>
      <c r="J64" s="248"/>
      <c r="K64" s="248"/>
      <c r="L64" s="248"/>
      <c r="M64" s="248"/>
      <c r="N64" s="249"/>
      <c r="O64" s="124"/>
      <c r="P64" s="124"/>
    </row>
    <row r="65" spans="1:16" ht="12.75">
      <c r="A65" s="40"/>
      <c r="B65" s="124"/>
      <c r="C65" s="124"/>
      <c r="D65" s="128">
        <f>'OP1 Rater'!CR51</f>
        <v>200</v>
      </c>
      <c r="E65" s="128">
        <f>'OP1 Rater'!CS51</f>
        <v>250</v>
      </c>
      <c r="F65" s="128">
        <f>'OP1 Rater'!CT51</f>
        <v>500</v>
      </c>
      <c r="G65" s="128">
        <f>'OP1 Rater'!CU51</f>
        <v>750</v>
      </c>
      <c r="H65" s="128">
        <f>'OP1 Rater'!CV51</f>
        <v>1000</v>
      </c>
      <c r="I65" s="128">
        <f>'OP1 Rater'!CW51</f>
        <v>1250</v>
      </c>
      <c r="J65" s="128">
        <f>'OP1 Rater'!CX51</f>
        <v>1500</v>
      </c>
      <c r="K65" s="128">
        <f>'OP1 Rater'!CY51</f>
        <v>1750</v>
      </c>
      <c r="L65" s="128">
        <f>'OP1 Rater'!CZ51</f>
        <v>2000</v>
      </c>
      <c r="M65" s="128">
        <f>'OP1 Rater'!DA51</f>
        <v>2250</v>
      </c>
      <c r="N65" s="128">
        <f>'OP1 Rater'!DB51</f>
        <v>2500</v>
      </c>
      <c r="O65" s="124"/>
      <c r="P65" s="124"/>
    </row>
    <row r="66" spans="1:16" ht="12.75">
      <c r="A66" s="129" t="str">
        <f>'OP1 Rater'!BX52</f>
        <v>Insured Only</v>
      </c>
      <c r="B66" s="130"/>
      <c r="C66" s="124"/>
      <c r="D66" s="131">
        <f>'OP1 Rater'!CR52</f>
        <v>11.14</v>
      </c>
      <c r="E66" s="131">
        <f>'OP1 Rater'!CS52</f>
        <v>13.26</v>
      </c>
      <c r="F66" s="131">
        <f>'OP1 Rater'!CT52</f>
        <v>23.86</v>
      </c>
      <c r="G66" s="131">
        <f>'OP1 Rater'!CU52</f>
        <v>28.62</v>
      </c>
      <c r="H66" s="131">
        <f>'OP1 Rater'!CV52</f>
        <v>31.53</v>
      </c>
      <c r="I66" s="131">
        <f>'OP1 Rater'!CW52</f>
        <v>35.63</v>
      </c>
      <c r="J66" s="131">
        <f>'OP1 Rater'!CX52</f>
        <v>39.73</v>
      </c>
      <c r="K66" s="131">
        <f>'OP1 Rater'!CY52</f>
        <v>42.58</v>
      </c>
      <c r="L66" s="131">
        <f>'OP1 Rater'!CZ52</f>
        <v>45.42</v>
      </c>
      <c r="M66" s="131">
        <f>'OP1 Rater'!DA52</f>
        <v>47.69</v>
      </c>
      <c r="N66" s="131">
        <f>'OP1 Rater'!DB52</f>
        <v>49.96</v>
      </c>
      <c r="O66" s="124"/>
      <c r="P66" s="124"/>
    </row>
    <row r="67" spans="1:16" ht="12.75">
      <c r="A67" s="132" t="str">
        <f>'OP1 Rater'!BX53</f>
        <v>Insured Plus Spouse</v>
      </c>
      <c r="B67" s="133"/>
      <c r="C67" s="124"/>
      <c r="D67" s="131">
        <f>'OP1 Rater'!CR53</f>
        <v>20.08</v>
      </c>
      <c r="E67" s="131">
        <f>'OP1 Rater'!CS53</f>
        <v>23.89</v>
      </c>
      <c r="F67" s="131">
        <f>'OP1 Rater'!CT53</f>
        <v>42.92</v>
      </c>
      <c r="G67" s="131">
        <f>'OP1 Rater'!CU53</f>
        <v>51.5</v>
      </c>
      <c r="H67" s="131">
        <f>'OP1 Rater'!CV53</f>
        <v>56.75</v>
      </c>
      <c r="I67" s="131">
        <f>'OP1 Rater'!CW53</f>
        <v>64.13</v>
      </c>
      <c r="J67" s="131">
        <f>'OP1 Rater'!CX53</f>
        <v>71.5</v>
      </c>
      <c r="K67" s="131">
        <f>'OP1 Rater'!CY53</f>
        <v>76.61</v>
      </c>
      <c r="L67" s="131">
        <f>'OP1 Rater'!CZ53</f>
        <v>81.72</v>
      </c>
      <c r="M67" s="131">
        <f>'OP1 Rater'!DA53</f>
        <v>85.8</v>
      </c>
      <c r="N67" s="131">
        <f>'OP1 Rater'!DB53</f>
        <v>89.89</v>
      </c>
      <c r="O67" s="124"/>
      <c r="P67" s="124"/>
    </row>
    <row r="68" spans="1:16" ht="12.75">
      <c r="A68" s="132" t="str">
        <f>'OP1 Rater'!BX54</f>
        <v>Insured Plus Children</v>
      </c>
      <c r="B68" s="133"/>
      <c r="C68" s="124"/>
      <c r="D68" s="131">
        <f>'OP1 Rater'!CR54</f>
        <v>17.83</v>
      </c>
      <c r="E68" s="131">
        <f>'OP1 Rater'!CS54</f>
        <v>21.22</v>
      </c>
      <c r="F68" s="131">
        <f>'OP1 Rater'!CT54</f>
        <v>38.17</v>
      </c>
      <c r="G68" s="131">
        <f>'OP1 Rater'!CU54</f>
        <v>45.83</v>
      </c>
      <c r="H68" s="131">
        <f>'OP1 Rater'!CV54</f>
        <v>50.5</v>
      </c>
      <c r="I68" s="131">
        <f>'OP1 Rater'!CW54</f>
        <v>57.07</v>
      </c>
      <c r="J68" s="131">
        <f>'OP1 Rater'!CX54</f>
        <v>63.63</v>
      </c>
      <c r="K68" s="131">
        <f>'OP1 Rater'!CY54</f>
        <v>68.18</v>
      </c>
      <c r="L68" s="131">
        <f>'OP1 Rater'!CZ54</f>
        <v>72.72</v>
      </c>
      <c r="M68" s="131">
        <f>'OP1 Rater'!DA54</f>
        <v>76.35</v>
      </c>
      <c r="N68" s="131">
        <f>'OP1 Rater'!DB54</f>
        <v>79.98</v>
      </c>
      <c r="O68" s="124"/>
      <c r="P68" s="124"/>
    </row>
    <row r="69" spans="1:16" ht="12.75">
      <c r="A69" s="134" t="str">
        <f>'OP1 Rater'!BX55</f>
        <v>Insured Plus Family</v>
      </c>
      <c r="B69" s="135"/>
      <c r="C69" s="124"/>
      <c r="D69" s="131">
        <f>'OP1 Rater'!CR55</f>
        <v>26.39</v>
      </c>
      <c r="E69" s="131">
        <f>'OP1 Rater'!CS55</f>
        <v>31.53</v>
      </c>
      <c r="F69" s="131">
        <f>'OP1 Rater'!CT55</f>
        <v>57.25</v>
      </c>
      <c r="G69" s="131">
        <f>'OP1 Rater'!CU55</f>
        <v>68.67</v>
      </c>
      <c r="H69" s="131">
        <f>'OP1 Rater'!CV55</f>
        <v>75.67</v>
      </c>
      <c r="I69" s="131">
        <f>'OP1 Rater'!CW55</f>
        <v>85.5</v>
      </c>
      <c r="J69" s="131">
        <f>'OP1 Rater'!CX55</f>
        <v>95.33</v>
      </c>
      <c r="K69" s="131">
        <f>'OP1 Rater'!CY55</f>
        <v>102.15</v>
      </c>
      <c r="L69" s="131">
        <f>'OP1 Rater'!CZ55</f>
        <v>108.97</v>
      </c>
      <c r="M69" s="131">
        <f>'OP1 Rater'!DA55</f>
        <v>114.42</v>
      </c>
      <c r="N69" s="131">
        <f>'OP1 Rater'!DB55</f>
        <v>119.87</v>
      </c>
      <c r="O69" s="124"/>
      <c r="P69" s="124"/>
    </row>
    <row r="70" spans="1:16" ht="12.75">
      <c r="A70" s="124"/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</row>
    <row r="71" spans="1:16" ht="12.75">
      <c r="A71" s="124"/>
      <c r="B71" s="124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</row>
    <row r="72" spans="1:16" ht="12.75">
      <c r="A72" s="125" t="str">
        <f>'OP1 Rater'!EC24</f>
        <v>TEXAS</v>
      </c>
      <c r="B72" s="124"/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</row>
    <row r="73" spans="1:16" ht="6" customHeight="1">
      <c r="A73" s="124"/>
      <c r="B73" s="124"/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</row>
    <row r="74" spans="1:16" ht="12.75">
      <c r="A74" s="124"/>
      <c r="B74" s="124"/>
      <c r="C74" s="124"/>
      <c r="D74" s="126" t="str">
        <f>'OP1 Rater'!EF28</f>
        <v>Insured with Attained Age Under 40</v>
      </c>
      <c r="E74" s="126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</row>
    <row r="75" spans="1:16" ht="12.75">
      <c r="A75" s="124"/>
      <c r="B75" s="124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</row>
    <row r="76" spans="1:16" ht="12.75">
      <c r="A76" s="124"/>
      <c r="B76" s="124"/>
      <c r="C76" s="124"/>
      <c r="D76" s="245" t="s">
        <v>5</v>
      </c>
      <c r="E76" s="246"/>
      <c r="F76" s="248"/>
      <c r="G76" s="248"/>
      <c r="H76" s="248"/>
      <c r="I76" s="248"/>
      <c r="J76" s="248"/>
      <c r="K76" s="248"/>
      <c r="L76" s="248"/>
      <c r="M76" s="248"/>
      <c r="N76" s="249"/>
      <c r="O76" s="124"/>
      <c r="P76" s="124"/>
    </row>
    <row r="77" spans="1:16" ht="12.75">
      <c r="A77" s="40"/>
      <c r="B77" s="124"/>
      <c r="C77" s="124"/>
      <c r="D77" s="128">
        <f>'OP1 Rater'!EW31</f>
        <v>200</v>
      </c>
      <c r="E77" s="128">
        <f>'OP1 Rater'!EX31</f>
        <v>250</v>
      </c>
      <c r="F77" s="128">
        <f>'OP1 Rater'!EY31</f>
        <v>500</v>
      </c>
      <c r="G77" s="128">
        <f>'OP1 Rater'!EZ31</f>
        <v>750</v>
      </c>
      <c r="H77" s="128">
        <f>'OP1 Rater'!FA31</f>
        <v>1000</v>
      </c>
      <c r="I77" s="128">
        <f>'OP1 Rater'!FB31</f>
        <v>1250</v>
      </c>
      <c r="J77" s="128">
        <f>'OP1 Rater'!FC31</f>
        <v>1500</v>
      </c>
      <c r="K77" s="128">
        <f>'OP1 Rater'!FD31</f>
        <v>1750</v>
      </c>
      <c r="L77" s="128">
        <f>'OP1 Rater'!FE31</f>
        <v>2000</v>
      </c>
      <c r="M77" s="128">
        <f>'OP1 Rater'!FF31</f>
        <v>2250</v>
      </c>
      <c r="N77" s="128">
        <f>'OP1 Rater'!FG31</f>
        <v>2500</v>
      </c>
      <c r="O77" s="124"/>
      <c r="P77" s="124"/>
    </row>
    <row r="78" spans="1:16" ht="12.75">
      <c r="A78" s="129" t="str">
        <f>'OP1 Rater'!EC32</f>
        <v>Insured Only</v>
      </c>
      <c r="B78" s="130"/>
      <c r="C78" s="124"/>
      <c r="D78" s="131">
        <f>'OP1 Rater'!EW32</f>
        <v>4.9</v>
      </c>
      <c r="E78" s="131">
        <f>'OP1 Rater'!EX32</f>
        <v>5.84</v>
      </c>
      <c r="F78" s="131">
        <f>'OP1 Rater'!EY32</f>
        <v>10.5</v>
      </c>
      <c r="G78" s="131">
        <f>'OP1 Rater'!EZ32</f>
        <v>12.6</v>
      </c>
      <c r="H78" s="131">
        <f>'OP1 Rater'!FA32</f>
        <v>13.88</v>
      </c>
      <c r="I78" s="131">
        <f>'OP1 Rater'!FB32</f>
        <v>16.03</v>
      </c>
      <c r="J78" s="131">
        <f>'OP1 Rater'!FC32</f>
        <v>17.48</v>
      </c>
      <c r="K78" s="131">
        <f>'OP1 Rater'!FD32</f>
        <v>18.73</v>
      </c>
      <c r="L78" s="131">
        <f>'OP1 Rater'!FE32</f>
        <v>19.98</v>
      </c>
      <c r="M78" s="131">
        <f>'OP1 Rater'!FF32</f>
        <v>20.99</v>
      </c>
      <c r="N78" s="131">
        <f>'OP1 Rater'!FG32</f>
        <v>21.98</v>
      </c>
      <c r="O78" s="124"/>
      <c r="P78" s="124"/>
    </row>
    <row r="79" spans="1:16" ht="12.75">
      <c r="A79" s="132" t="str">
        <f>'OP1 Rater'!EC33</f>
        <v>Insured Plus Spouse</v>
      </c>
      <c r="B79" s="133"/>
      <c r="C79" s="124"/>
      <c r="D79" s="131">
        <f>'OP1 Rater'!EW33</f>
        <v>8.81</v>
      </c>
      <c r="E79" s="131">
        <f>'OP1 Rater'!EX33</f>
        <v>10.49</v>
      </c>
      <c r="F79" s="131">
        <f>'OP1 Rater'!EY33</f>
        <v>18.89</v>
      </c>
      <c r="G79" s="131">
        <f>'OP1 Rater'!EZ33</f>
        <v>22.65</v>
      </c>
      <c r="H79" s="131">
        <f>'OP1 Rater'!FA33</f>
        <v>25</v>
      </c>
      <c r="I79" s="131">
        <f>'OP1 Rater'!FB33</f>
        <v>28.88</v>
      </c>
      <c r="J79" s="131">
        <f>'OP1 Rater'!FC33</f>
        <v>31.5</v>
      </c>
      <c r="K79" s="131">
        <f>'OP1 Rater'!FD33</f>
        <v>33.75</v>
      </c>
      <c r="L79" s="131">
        <f>'OP1 Rater'!FE33</f>
        <v>35.99</v>
      </c>
      <c r="M79" s="131">
        <f>'OP1 Rater'!FF33</f>
        <v>37.79</v>
      </c>
      <c r="N79" s="131">
        <f>'OP1 Rater'!FG33</f>
        <v>39.58</v>
      </c>
      <c r="O79" s="124"/>
      <c r="P79" s="124"/>
    </row>
    <row r="80" spans="1:16" ht="12.75">
      <c r="A80" s="132" t="str">
        <f>'OP1 Rater'!EC34</f>
        <v>Insured Plus Children</v>
      </c>
      <c r="B80" s="133"/>
      <c r="C80" s="124"/>
      <c r="D80" s="131">
        <f>'OP1 Rater'!EW34</f>
        <v>10.58</v>
      </c>
      <c r="E80" s="131">
        <f>'OP1 Rater'!EX34</f>
        <v>12.61</v>
      </c>
      <c r="F80" s="131">
        <f>'OP1 Rater'!EY34</f>
        <v>22.73</v>
      </c>
      <c r="G80" s="131">
        <f>'OP1 Rater'!EZ34</f>
        <v>27.27</v>
      </c>
      <c r="H80" s="131">
        <f>'OP1 Rater'!FA34</f>
        <v>30.04</v>
      </c>
      <c r="I80" s="131">
        <f>'OP1 Rater'!FB34</f>
        <v>34.7</v>
      </c>
      <c r="J80" s="131">
        <f>'OP1 Rater'!FC34</f>
        <v>37.85</v>
      </c>
      <c r="K80" s="131">
        <f>'OP1 Rater'!FD34</f>
        <v>40.56</v>
      </c>
      <c r="L80" s="131">
        <f>'OP1 Rater'!FE34</f>
        <v>43.26</v>
      </c>
      <c r="M80" s="131">
        <f>'OP1 Rater'!FF34</f>
        <v>45.43</v>
      </c>
      <c r="N80" s="131">
        <f>'OP1 Rater'!FG34</f>
        <v>47.59</v>
      </c>
      <c r="O80" s="124"/>
      <c r="P80" s="124"/>
    </row>
    <row r="81" spans="1:16" ht="12.75">
      <c r="A81" s="134" t="str">
        <f>'OP1 Rater'!EC35</f>
        <v>Insured Plus Family</v>
      </c>
      <c r="B81" s="135"/>
      <c r="C81" s="124"/>
      <c r="D81" s="131">
        <f>'OP1 Rater'!EW35</f>
        <v>14.49</v>
      </c>
      <c r="E81" s="131">
        <f>'OP1 Rater'!EX35</f>
        <v>17.26</v>
      </c>
      <c r="F81" s="131">
        <f>'OP1 Rater'!EY35</f>
        <v>31.11</v>
      </c>
      <c r="G81" s="131">
        <f>'OP1 Rater'!EZ35</f>
        <v>37.28</v>
      </c>
      <c r="H81" s="131">
        <f>'OP1 Rater'!FA35</f>
        <v>41.12</v>
      </c>
      <c r="I81" s="131">
        <f>'OP1 Rater'!FB35</f>
        <v>47.5</v>
      </c>
      <c r="J81" s="131">
        <f>'OP1 Rater'!FC35</f>
        <v>51.81</v>
      </c>
      <c r="K81" s="131">
        <f>'OP1 Rater'!FD35</f>
        <v>55.51</v>
      </c>
      <c r="L81" s="131">
        <f>'OP1 Rater'!FE35</f>
        <v>59.21</v>
      </c>
      <c r="M81" s="131">
        <f>'OP1 Rater'!FF35</f>
        <v>62.18</v>
      </c>
      <c r="N81" s="131">
        <f>'OP1 Rater'!FG35</f>
        <v>65.14</v>
      </c>
      <c r="O81" s="124"/>
      <c r="P81" s="124"/>
    </row>
    <row r="82" spans="1:16" ht="12.75">
      <c r="A82" s="124"/>
      <c r="B82" s="124"/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</row>
    <row r="83" spans="1:16" ht="12.75">
      <c r="A83" s="124"/>
      <c r="B83" s="124"/>
      <c r="C83" s="124"/>
      <c r="D83" s="126" t="str">
        <f>'OP1 Rater'!EF38</f>
        <v>Insured with Attained Age 40 - 49</v>
      </c>
      <c r="E83" s="126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</row>
    <row r="84" spans="1:16" ht="6" customHeight="1">
      <c r="A84" s="124"/>
      <c r="B84" s="124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</row>
    <row r="85" spans="1:16" ht="12.75">
      <c r="A85" s="124"/>
      <c r="B85" s="124"/>
      <c r="C85" s="124"/>
      <c r="D85" s="245" t="s">
        <v>5</v>
      </c>
      <c r="E85" s="246"/>
      <c r="F85" s="248"/>
      <c r="G85" s="248"/>
      <c r="H85" s="248"/>
      <c r="I85" s="248"/>
      <c r="J85" s="248"/>
      <c r="K85" s="248"/>
      <c r="L85" s="248"/>
      <c r="M85" s="248"/>
      <c r="N85" s="249"/>
      <c r="O85" s="124"/>
      <c r="P85" s="124"/>
    </row>
    <row r="86" spans="1:16" ht="12.75">
      <c r="A86" s="40"/>
      <c r="B86" s="124"/>
      <c r="C86" s="124"/>
      <c r="D86" s="128">
        <f>'OP1 Rater'!EW41</f>
        <v>200</v>
      </c>
      <c r="E86" s="128">
        <f>'OP1 Rater'!EX41</f>
        <v>250</v>
      </c>
      <c r="F86" s="128">
        <f>'OP1 Rater'!EY41</f>
        <v>500</v>
      </c>
      <c r="G86" s="128">
        <f>'OP1 Rater'!EZ41</f>
        <v>750</v>
      </c>
      <c r="H86" s="128">
        <f>'OP1 Rater'!FA41</f>
        <v>1000</v>
      </c>
      <c r="I86" s="128">
        <f>'OP1 Rater'!FB41</f>
        <v>1250</v>
      </c>
      <c r="J86" s="128">
        <f>'OP1 Rater'!FC41</f>
        <v>1500</v>
      </c>
      <c r="K86" s="128">
        <f>'OP1 Rater'!FD41</f>
        <v>1750</v>
      </c>
      <c r="L86" s="128">
        <f>'OP1 Rater'!FE41</f>
        <v>2000</v>
      </c>
      <c r="M86" s="128">
        <f>'OP1 Rater'!FF41</f>
        <v>2250</v>
      </c>
      <c r="N86" s="128">
        <f>'OP1 Rater'!FG41</f>
        <v>2500</v>
      </c>
      <c r="O86" s="124"/>
      <c r="P86" s="124"/>
    </row>
    <row r="87" spans="1:16" ht="12.75">
      <c r="A87" s="129" t="str">
        <f>'OP1 Rater'!BX32</f>
        <v>Insured Only</v>
      </c>
      <c r="B87" s="130"/>
      <c r="C87" s="124"/>
      <c r="D87" s="131">
        <f>'OP1 Rater'!EW42</f>
        <v>6.21</v>
      </c>
      <c r="E87" s="131">
        <f>'OP1 Rater'!EX42</f>
        <v>7.39</v>
      </c>
      <c r="F87" s="131">
        <f>'OP1 Rater'!EY42</f>
        <v>13.29</v>
      </c>
      <c r="G87" s="131">
        <f>'OP1 Rater'!EZ42</f>
        <v>15.95</v>
      </c>
      <c r="H87" s="131">
        <f>'OP1 Rater'!FA42</f>
        <v>17.57</v>
      </c>
      <c r="I87" s="131">
        <f>'OP1 Rater'!FB42</f>
        <v>20.29</v>
      </c>
      <c r="J87" s="131">
        <f>'OP1 Rater'!FC42</f>
        <v>22.14</v>
      </c>
      <c r="K87" s="131">
        <f>'OP1 Rater'!FD42</f>
        <v>23.72</v>
      </c>
      <c r="L87" s="131">
        <f>'OP1 Rater'!FE42</f>
        <v>25.3</v>
      </c>
      <c r="M87" s="131">
        <f>'OP1 Rater'!FF42</f>
        <v>26.56</v>
      </c>
      <c r="N87" s="131">
        <f>'OP1 Rater'!FG42</f>
        <v>27.82</v>
      </c>
      <c r="O87" s="124"/>
      <c r="P87" s="124"/>
    </row>
    <row r="88" spans="1:16" ht="12.75">
      <c r="A88" s="132" t="str">
        <f>'OP1 Rater'!BX33</f>
        <v>Insured Plus Spouse</v>
      </c>
      <c r="B88" s="133"/>
      <c r="C88" s="124"/>
      <c r="D88" s="131">
        <f>'OP1 Rater'!EW43</f>
        <v>11.15</v>
      </c>
      <c r="E88" s="131">
        <f>'OP1 Rater'!EX43</f>
        <v>13.28</v>
      </c>
      <c r="F88" s="131">
        <f>'OP1 Rater'!EY43</f>
        <v>23.92</v>
      </c>
      <c r="G88" s="131">
        <f>'OP1 Rater'!EZ43</f>
        <v>28.68</v>
      </c>
      <c r="H88" s="131">
        <f>'OP1 Rater'!FA43</f>
        <v>31.62</v>
      </c>
      <c r="I88" s="131">
        <f>'OP1 Rater'!FB43</f>
        <v>36.53</v>
      </c>
      <c r="J88" s="131">
        <f>'OP1 Rater'!FC43</f>
        <v>39.85</v>
      </c>
      <c r="K88" s="131">
        <f>'OP1 Rater'!FD43</f>
        <v>42.69</v>
      </c>
      <c r="L88" s="131">
        <f>'OP1 Rater'!FE43</f>
        <v>45.54</v>
      </c>
      <c r="M88" s="131">
        <f>'OP1 Rater'!FF43</f>
        <v>47.82</v>
      </c>
      <c r="N88" s="131">
        <f>'OP1 Rater'!FG43</f>
        <v>50.08</v>
      </c>
      <c r="O88" s="124"/>
      <c r="P88" s="124"/>
    </row>
    <row r="89" spans="1:16" ht="12.75">
      <c r="A89" s="132" t="str">
        <f>'OP1 Rater'!BX34</f>
        <v>Insured Plus Children</v>
      </c>
      <c r="B89" s="133"/>
      <c r="C89" s="124"/>
      <c r="D89" s="131">
        <f>'OP1 Rater'!EW44</f>
        <v>11.21</v>
      </c>
      <c r="E89" s="131">
        <f>'OP1 Rater'!EX44</f>
        <v>13.35</v>
      </c>
      <c r="F89" s="131">
        <f>'OP1 Rater'!EY44</f>
        <v>24.05</v>
      </c>
      <c r="G89" s="131">
        <f>'OP1 Rater'!EZ44</f>
        <v>28.87</v>
      </c>
      <c r="H89" s="131">
        <f>'OP1 Rater'!FA44</f>
        <v>31.81</v>
      </c>
      <c r="I89" s="131">
        <f>'OP1 Rater'!FB44</f>
        <v>36.74</v>
      </c>
      <c r="J89" s="131">
        <f>'OP1 Rater'!FC44</f>
        <v>40.08</v>
      </c>
      <c r="K89" s="131">
        <f>'OP1 Rater'!FD44</f>
        <v>42.94</v>
      </c>
      <c r="L89" s="131">
        <f>'OP1 Rater'!FE44</f>
        <v>45.81</v>
      </c>
      <c r="M89" s="131">
        <f>'OP1 Rater'!FF44</f>
        <v>48.1</v>
      </c>
      <c r="N89" s="131">
        <f>'OP1 Rater'!FG44</f>
        <v>50.4</v>
      </c>
      <c r="O89" s="124"/>
      <c r="P89" s="124"/>
    </row>
    <row r="90" spans="1:16" ht="12.75">
      <c r="A90" s="134" t="str">
        <f>'OP1 Rater'!BX35</f>
        <v>Insured Plus Family</v>
      </c>
      <c r="B90" s="135"/>
      <c r="C90" s="124"/>
      <c r="D90" s="131">
        <f>'OP1 Rater'!EW45</f>
        <v>16.16</v>
      </c>
      <c r="E90" s="131">
        <f>'OP1 Rater'!EX45</f>
        <v>19.24</v>
      </c>
      <c r="F90" s="131">
        <f>'OP1 Rater'!EY45</f>
        <v>34.69</v>
      </c>
      <c r="G90" s="131">
        <f>'OP1 Rater'!EZ45</f>
        <v>41.58</v>
      </c>
      <c r="H90" s="131">
        <f>'OP1 Rater'!FA45</f>
        <v>45.84</v>
      </c>
      <c r="I90" s="131">
        <f>'OP1 Rater'!FB45</f>
        <v>52.94</v>
      </c>
      <c r="J90" s="131">
        <f>'OP1 Rater'!FC45</f>
        <v>57.76</v>
      </c>
      <c r="K90" s="131">
        <f>'OP1 Rater'!FD45</f>
        <v>61.88</v>
      </c>
      <c r="L90" s="131">
        <f>'OP1 Rater'!FE45</f>
        <v>66</v>
      </c>
      <c r="M90" s="131">
        <f>'OP1 Rater'!FF45</f>
        <v>69.3</v>
      </c>
      <c r="N90" s="131">
        <f>'OP1 Rater'!FG45</f>
        <v>72.59</v>
      </c>
      <c r="O90" s="124"/>
      <c r="P90" s="124"/>
    </row>
    <row r="91" spans="1:16" ht="12.75">
      <c r="A91" s="124"/>
      <c r="B91" s="124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</row>
    <row r="92" spans="1:16" ht="12.75">
      <c r="A92" s="124"/>
      <c r="B92" s="124"/>
      <c r="C92" s="124"/>
      <c r="D92" s="126" t="str">
        <f>'OP1 Rater'!EF48</f>
        <v>Insured with Attained Age 50+</v>
      </c>
      <c r="E92" s="126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4"/>
    </row>
    <row r="93" spans="1:16" ht="6" customHeight="1">
      <c r="A93" s="124"/>
      <c r="B93" s="124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</row>
    <row r="94" spans="1:16" ht="12.75">
      <c r="A94" s="124"/>
      <c r="B94" s="124"/>
      <c r="C94" s="124"/>
      <c r="D94" s="245" t="s">
        <v>5</v>
      </c>
      <c r="E94" s="246"/>
      <c r="F94" s="248"/>
      <c r="G94" s="248"/>
      <c r="H94" s="248"/>
      <c r="I94" s="248"/>
      <c r="J94" s="248"/>
      <c r="K94" s="248"/>
      <c r="L94" s="248"/>
      <c r="M94" s="248"/>
      <c r="N94" s="249"/>
      <c r="O94" s="124"/>
      <c r="P94" s="124"/>
    </row>
    <row r="95" spans="1:16" ht="12.75">
      <c r="A95" s="40"/>
      <c r="B95" s="124"/>
      <c r="C95" s="124"/>
      <c r="D95" s="128">
        <f>'OP1 Rater'!EW51</f>
        <v>200</v>
      </c>
      <c r="E95" s="128">
        <f>'OP1 Rater'!EX51</f>
        <v>250</v>
      </c>
      <c r="F95" s="128">
        <f>'OP1 Rater'!EY51</f>
        <v>500</v>
      </c>
      <c r="G95" s="128">
        <f>'OP1 Rater'!EZ51</f>
        <v>750</v>
      </c>
      <c r="H95" s="128">
        <f>'OP1 Rater'!FA51</f>
        <v>1000</v>
      </c>
      <c r="I95" s="128">
        <f>'OP1 Rater'!FB51</f>
        <v>1250</v>
      </c>
      <c r="J95" s="128">
        <f>'OP1 Rater'!FC51</f>
        <v>1500</v>
      </c>
      <c r="K95" s="128">
        <f>'OP1 Rater'!FD51</f>
        <v>1750</v>
      </c>
      <c r="L95" s="128">
        <f>'OP1 Rater'!FE51</f>
        <v>2000</v>
      </c>
      <c r="M95" s="128">
        <f>'OP1 Rater'!FF51</f>
        <v>2250</v>
      </c>
      <c r="N95" s="128">
        <f>'OP1 Rater'!FG51</f>
        <v>2500</v>
      </c>
      <c r="O95" s="124"/>
      <c r="P95" s="124"/>
    </row>
    <row r="96" spans="1:16" ht="12.75">
      <c r="A96" s="129" t="str">
        <f>'OP1 Rater'!EC52</f>
        <v>Insured Only</v>
      </c>
      <c r="B96" s="130"/>
      <c r="C96" s="124"/>
      <c r="D96" s="131">
        <f>'OP1 Rater'!EW52</f>
        <v>12.77</v>
      </c>
      <c r="E96" s="131">
        <f>'OP1 Rater'!EX52</f>
        <v>15.19</v>
      </c>
      <c r="F96" s="131">
        <f>'OP1 Rater'!EY52</f>
        <v>27.33</v>
      </c>
      <c r="G96" s="131">
        <f>'OP1 Rater'!EZ52</f>
        <v>32.79</v>
      </c>
      <c r="H96" s="131">
        <f>'OP1 Rater'!FA52</f>
        <v>36.12</v>
      </c>
      <c r="I96" s="131">
        <f>'OP1 Rater'!FB52</f>
        <v>41.72</v>
      </c>
      <c r="J96" s="131">
        <f>'OP1 Rater'!FC52</f>
        <v>45.51</v>
      </c>
      <c r="K96" s="131">
        <f>'OP1 Rater'!FD52</f>
        <v>48.77</v>
      </c>
      <c r="L96" s="131">
        <f>'OP1 Rater'!FE52</f>
        <v>52.02</v>
      </c>
      <c r="M96" s="131">
        <f>'OP1 Rater'!FF52</f>
        <v>54.63</v>
      </c>
      <c r="N96" s="131">
        <f>'OP1 Rater'!FG52</f>
        <v>57.23</v>
      </c>
      <c r="O96" s="124"/>
      <c r="P96" s="124"/>
    </row>
    <row r="97" spans="1:16" ht="12.75">
      <c r="A97" s="132" t="str">
        <f>'OP1 Rater'!EC53</f>
        <v>Insured Plus Spouse</v>
      </c>
      <c r="B97" s="133"/>
      <c r="C97" s="124"/>
      <c r="D97" s="131">
        <f>'OP1 Rater'!EW53</f>
        <v>23</v>
      </c>
      <c r="E97" s="131">
        <f>'OP1 Rater'!EX53</f>
        <v>27.36</v>
      </c>
      <c r="F97" s="131">
        <f>'OP1 Rater'!EY53</f>
        <v>49.16</v>
      </c>
      <c r="G97" s="131">
        <f>'OP1 Rater'!EZ53</f>
        <v>58.99</v>
      </c>
      <c r="H97" s="131">
        <f>'OP1 Rater'!FA53</f>
        <v>65</v>
      </c>
      <c r="I97" s="131">
        <f>'OP1 Rater'!FB53</f>
        <v>75.08</v>
      </c>
      <c r="J97" s="131">
        <f>'OP1 Rater'!FC53</f>
        <v>81.9</v>
      </c>
      <c r="K97" s="131">
        <f>'OP1 Rater'!FD53</f>
        <v>87.75</v>
      </c>
      <c r="L97" s="131">
        <f>'OP1 Rater'!FE53</f>
        <v>93.6</v>
      </c>
      <c r="M97" s="131">
        <f>'OP1 Rater'!FF53</f>
        <v>98.28</v>
      </c>
      <c r="N97" s="131">
        <f>'OP1 Rater'!FG53</f>
        <v>102.96</v>
      </c>
      <c r="O97" s="124"/>
      <c r="P97" s="124"/>
    </row>
    <row r="98" spans="1:16" ht="12.75">
      <c r="A98" s="132" t="str">
        <f>'OP1 Rater'!EC54</f>
        <v>Insured Plus Children</v>
      </c>
      <c r="B98" s="133"/>
      <c r="C98" s="124"/>
      <c r="D98" s="131">
        <f>'OP1 Rater'!EW54</f>
        <v>20.43</v>
      </c>
      <c r="E98" s="131">
        <f>'OP1 Rater'!EX54</f>
        <v>24.31</v>
      </c>
      <c r="F98" s="131">
        <f>'OP1 Rater'!EY54</f>
        <v>43.72</v>
      </c>
      <c r="G98" s="131">
        <f>'OP1 Rater'!EZ54</f>
        <v>52.5</v>
      </c>
      <c r="H98" s="131">
        <f>'OP1 Rater'!FA54</f>
        <v>57.85</v>
      </c>
      <c r="I98" s="131">
        <f>'OP1 Rater'!FB54</f>
        <v>66.81</v>
      </c>
      <c r="J98" s="131">
        <f>'OP1 Rater'!FC54</f>
        <v>72.89</v>
      </c>
      <c r="K98" s="131">
        <f>'OP1 Rater'!FD54</f>
        <v>78.09</v>
      </c>
      <c r="L98" s="131">
        <f>'OP1 Rater'!FE54</f>
        <v>83.29</v>
      </c>
      <c r="M98" s="131">
        <f>'OP1 Rater'!FF54</f>
        <v>87.46</v>
      </c>
      <c r="N98" s="131">
        <f>'OP1 Rater'!FG54</f>
        <v>91.62</v>
      </c>
      <c r="O98" s="124"/>
      <c r="P98" s="124"/>
    </row>
    <row r="99" spans="1:16" ht="12.75">
      <c r="A99" s="134" t="str">
        <f>'OP1 Rater'!EC55</f>
        <v>Insured Plus Family</v>
      </c>
      <c r="B99" s="135"/>
      <c r="C99" s="124"/>
      <c r="D99" s="131">
        <f>'OP1 Rater'!EW55</f>
        <v>30.23</v>
      </c>
      <c r="E99" s="131">
        <f>'OP1 Rater'!EX55</f>
        <v>36.12</v>
      </c>
      <c r="F99" s="131">
        <f>'OP1 Rater'!EY55</f>
        <v>65.58</v>
      </c>
      <c r="G99" s="131">
        <f>'OP1 Rater'!EZ55</f>
        <v>78.65</v>
      </c>
      <c r="H99" s="131">
        <f>'OP1 Rater'!FA55</f>
        <v>86.67</v>
      </c>
      <c r="I99" s="131">
        <f>'OP1 Rater'!FB55</f>
        <v>100.1</v>
      </c>
      <c r="J99" s="131">
        <f>'OP1 Rater'!FC55</f>
        <v>109.2</v>
      </c>
      <c r="K99" s="131">
        <f>'OP1 Rater'!FD55</f>
        <v>117.01</v>
      </c>
      <c r="L99" s="131">
        <f>'OP1 Rater'!FE55</f>
        <v>124.82</v>
      </c>
      <c r="M99" s="131">
        <f>'OP1 Rater'!FF55</f>
        <v>131.06</v>
      </c>
      <c r="N99" s="131">
        <f>'OP1 Rater'!FG55</f>
        <v>137.31</v>
      </c>
      <c r="O99" s="124"/>
      <c r="P99" s="124"/>
    </row>
    <row r="100" spans="1:16" ht="12.75">
      <c r="A100" s="124"/>
      <c r="B100" s="124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</row>
    <row r="101" spans="1:16" ht="12.75">
      <c r="A101" s="124"/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</row>
    <row r="102" spans="1:16" ht="12.75">
      <c r="A102" s="125" t="str">
        <f>'OP1 Rater'!GG24</f>
        <v>ALL OTHER STATES</v>
      </c>
      <c r="B102" s="124"/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  <c r="N102" s="124"/>
      <c r="O102" s="124"/>
      <c r="P102" s="124"/>
    </row>
    <row r="103" spans="1:16" ht="6" customHeight="1">
      <c r="A103" s="124"/>
      <c r="B103" s="124"/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</row>
    <row r="104" spans="1:16" ht="12.75">
      <c r="A104" s="124"/>
      <c r="B104" s="124"/>
      <c r="C104" s="124"/>
      <c r="D104" s="126" t="str">
        <f>'OP1 Rater'!GJ28</f>
        <v>Insured with Attained Age Under 40</v>
      </c>
      <c r="E104" s="126"/>
      <c r="F104" s="124"/>
      <c r="G104" s="124"/>
      <c r="H104" s="124"/>
      <c r="I104" s="124"/>
      <c r="J104" s="124"/>
      <c r="K104" s="124"/>
      <c r="L104" s="124"/>
      <c r="M104" s="124"/>
      <c r="N104" s="124"/>
      <c r="O104" s="124"/>
      <c r="P104" s="124"/>
    </row>
    <row r="105" spans="1:16" ht="6" customHeight="1">
      <c r="A105" s="124"/>
      <c r="B105" s="124"/>
      <c r="C105" s="124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  <c r="N105" s="124"/>
      <c r="O105" s="124"/>
      <c r="P105" s="124"/>
    </row>
    <row r="106" spans="1:16" ht="12.75">
      <c r="A106" s="124"/>
      <c r="B106" s="124"/>
      <c r="C106" s="124"/>
      <c r="D106" s="245" t="s">
        <v>5</v>
      </c>
      <c r="E106" s="246"/>
      <c r="F106" s="248"/>
      <c r="G106" s="248"/>
      <c r="H106" s="248"/>
      <c r="I106" s="248"/>
      <c r="J106" s="248"/>
      <c r="K106" s="248"/>
      <c r="L106" s="248"/>
      <c r="M106" s="248"/>
      <c r="N106" s="249"/>
      <c r="O106" s="124"/>
      <c r="P106" s="124"/>
    </row>
    <row r="107" spans="1:16" ht="12.75">
      <c r="A107" s="40"/>
      <c r="B107" s="124"/>
      <c r="C107" s="124"/>
      <c r="D107" s="128">
        <f>'OP1 Rater'!HA31</f>
        <v>200</v>
      </c>
      <c r="E107" s="128">
        <f>'OP1 Rater'!HB31</f>
        <v>250</v>
      </c>
      <c r="F107" s="128">
        <f>'OP1 Rater'!HC31</f>
        <v>500</v>
      </c>
      <c r="G107" s="128">
        <f>'OP1 Rater'!HD31</f>
        <v>750</v>
      </c>
      <c r="H107" s="128">
        <f>'OP1 Rater'!HE31</f>
        <v>1000</v>
      </c>
      <c r="I107" s="128">
        <f>'OP1 Rater'!HF31</f>
        <v>1250</v>
      </c>
      <c r="J107" s="128">
        <f>'OP1 Rater'!HG31</f>
        <v>1500</v>
      </c>
      <c r="K107" s="128">
        <f>'OP1 Rater'!HH31</f>
        <v>1750</v>
      </c>
      <c r="L107" s="128">
        <f>'OP1 Rater'!HI31</f>
        <v>2000</v>
      </c>
      <c r="M107" s="128">
        <f>'OP1 Rater'!HJ31</f>
        <v>2250</v>
      </c>
      <c r="N107" s="128">
        <f>'OP1 Rater'!HK31</f>
        <v>2500</v>
      </c>
      <c r="O107" s="124"/>
      <c r="P107" s="124"/>
    </row>
    <row r="108" spans="1:16" ht="12.75">
      <c r="A108" s="129" t="str">
        <f>'OP1 Rater'!GG32</f>
        <v>Insured Only</v>
      </c>
      <c r="B108" s="130"/>
      <c r="C108" s="124"/>
      <c r="D108" s="131">
        <f>'OP1 Rater'!HA32</f>
        <v>4.9</v>
      </c>
      <c r="E108" s="131">
        <f>'OP1 Rater'!HB32</f>
        <v>5.84</v>
      </c>
      <c r="F108" s="131">
        <f>'OP1 Rater'!HC32</f>
        <v>10.5</v>
      </c>
      <c r="G108" s="131">
        <f>'OP1 Rater'!HD32</f>
        <v>12.6</v>
      </c>
      <c r="H108" s="131">
        <f>'OP1 Rater'!HE32</f>
        <v>13.88</v>
      </c>
      <c r="I108" s="131">
        <f>'OP1 Rater'!HF32</f>
        <v>16.03</v>
      </c>
      <c r="J108" s="131">
        <f>'OP1 Rater'!HG32</f>
        <v>17.48</v>
      </c>
      <c r="K108" s="131">
        <f>'OP1 Rater'!HH32</f>
        <v>18.73</v>
      </c>
      <c r="L108" s="131">
        <f>'OP1 Rater'!HI32</f>
        <v>19.98</v>
      </c>
      <c r="M108" s="131">
        <f>'OP1 Rater'!HJ32</f>
        <v>20.99</v>
      </c>
      <c r="N108" s="131">
        <f>'OP1 Rater'!HK32</f>
        <v>21.98</v>
      </c>
      <c r="O108" s="124"/>
      <c r="P108" s="124"/>
    </row>
    <row r="109" spans="1:16" ht="12.75">
      <c r="A109" s="132" t="str">
        <f>'OP1 Rater'!GG33</f>
        <v>Insured Plus Spouse</v>
      </c>
      <c r="B109" s="133"/>
      <c r="C109" s="124"/>
      <c r="D109" s="131">
        <f>'OP1 Rater'!HA33</f>
        <v>8.81</v>
      </c>
      <c r="E109" s="131">
        <f>'OP1 Rater'!HB33</f>
        <v>10.49</v>
      </c>
      <c r="F109" s="131">
        <f>'OP1 Rater'!HC33</f>
        <v>18.89</v>
      </c>
      <c r="G109" s="131">
        <f>'OP1 Rater'!HD33</f>
        <v>22.65</v>
      </c>
      <c r="H109" s="131">
        <f>'OP1 Rater'!HE33</f>
        <v>25</v>
      </c>
      <c r="I109" s="131">
        <f>'OP1 Rater'!HF33</f>
        <v>28.88</v>
      </c>
      <c r="J109" s="131">
        <f>'OP1 Rater'!HG33</f>
        <v>31.5</v>
      </c>
      <c r="K109" s="131">
        <f>'OP1 Rater'!HH33</f>
        <v>33.75</v>
      </c>
      <c r="L109" s="131">
        <f>'OP1 Rater'!HI33</f>
        <v>35.99</v>
      </c>
      <c r="M109" s="131">
        <f>'OP1 Rater'!HJ33</f>
        <v>37.79</v>
      </c>
      <c r="N109" s="131">
        <f>'OP1 Rater'!HK33</f>
        <v>39.58</v>
      </c>
      <c r="O109" s="124"/>
      <c r="P109" s="124"/>
    </row>
    <row r="110" spans="1:16" ht="12.75">
      <c r="A110" s="132" t="str">
        <f>'OP1 Rater'!GG34</f>
        <v>Insured Plus Children</v>
      </c>
      <c r="B110" s="133"/>
      <c r="C110" s="124"/>
      <c r="D110" s="131">
        <f>'OP1 Rater'!HA34</f>
        <v>10.58</v>
      </c>
      <c r="E110" s="131">
        <f>'OP1 Rater'!HB34</f>
        <v>12.61</v>
      </c>
      <c r="F110" s="131">
        <f>'OP1 Rater'!HC34</f>
        <v>22.73</v>
      </c>
      <c r="G110" s="131">
        <f>'OP1 Rater'!HD34</f>
        <v>27.27</v>
      </c>
      <c r="H110" s="131">
        <f>'OP1 Rater'!HE34</f>
        <v>30.04</v>
      </c>
      <c r="I110" s="131">
        <f>'OP1 Rater'!HF34</f>
        <v>34.7</v>
      </c>
      <c r="J110" s="131">
        <f>'OP1 Rater'!HG34</f>
        <v>37.85</v>
      </c>
      <c r="K110" s="131">
        <f>'OP1 Rater'!HH34</f>
        <v>40.56</v>
      </c>
      <c r="L110" s="131">
        <f>'OP1 Rater'!HI34</f>
        <v>43.26</v>
      </c>
      <c r="M110" s="131">
        <f>'OP1 Rater'!HJ34</f>
        <v>45.43</v>
      </c>
      <c r="N110" s="131">
        <f>'OP1 Rater'!HK34</f>
        <v>47.59</v>
      </c>
      <c r="O110" s="124"/>
      <c r="P110" s="124"/>
    </row>
    <row r="111" spans="1:16" ht="12.75">
      <c r="A111" s="134" t="str">
        <f>'OP1 Rater'!GG35</f>
        <v>Insured Plus Family</v>
      </c>
      <c r="B111" s="135"/>
      <c r="C111" s="124"/>
      <c r="D111" s="131">
        <f>'OP1 Rater'!HA35</f>
        <v>14.49</v>
      </c>
      <c r="E111" s="131">
        <f>'OP1 Rater'!HB35</f>
        <v>17.26</v>
      </c>
      <c r="F111" s="131">
        <f>'OP1 Rater'!HC35</f>
        <v>31.11</v>
      </c>
      <c r="G111" s="131">
        <f>'OP1 Rater'!HD35</f>
        <v>37.28</v>
      </c>
      <c r="H111" s="131">
        <f>'OP1 Rater'!HE35</f>
        <v>41.12</v>
      </c>
      <c r="I111" s="131">
        <f>'OP1 Rater'!HF35</f>
        <v>47.5</v>
      </c>
      <c r="J111" s="131">
        <f>'OP1 Rater'!HG35</f>
        <v>51.81</v>
      </c>
      <c r="K111" s="131">
        <f>'OP1 Rater'!HH35</f>
        <v>55.51</v>
      </c>
      <c r="L111" s="131">
        <f>'OP1 Rater'!HI35</f>
        <v>59.21</v>
      </c>
      <c r="M111" s="131">
        <f>'OP1 Rater'!HJ35</f>
        <v>62.18</v>
      </c>
      <c r="N111" s="131">
        <f>'OP1 Rater'!HK35</f>
        <v>65.14</v>
      </c>
      <c r="O111" s="124"/>
      <c r="P111" s="124"/>
    </row>
    <row r="112" spans="1:16" ht="12.75">
      <c r="A112" s="124"/>
      <c r="B112" s="124"/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</row>
    <row r="113" spans="1:16" ht="12.75">
      <c r="A113" s="124"/>
      <c r="B113" s="124"/>
      <c r="C113" s="124"/>
      <c r="D113" s="126" t="str">
        <f>'OP1 Rater'!GJ48</f>
        <v>Insured with Attained Age 50+</v>
      </c>
      <c r="E113" s="126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</row>
    <row r="114" spans="1:16" ht="6" customHeight="1">
      <c r="A114" s="124"/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</row>
    <row r="115" spans="1:16" ht="12.75">
      <c r="A115" s="124"/>
      <c r="B115" s="124"/>
      <c r="C115" s="124"/>
      <c r="D115" s="245" t="s">
        <v>5</v>
      </c>
      <c r="E115" s="246"/>
      <c r="F115" s="248"/>
      <c r="G115" s="248"/>
      <c r="H115" s="248"/>
      <c r="I115" s="248"/>
      <c r="J115" s="248"/>
      <c r="K115" s="248"/>
      <c r="L115" s="248"/>
      <c r="M115" s="248"/>
      <c r="N115" s="249"/>
      <c r="O115" s="124"/>
      <c r="P115" s="124"/>
    </row>
    <row r="116" spans="1:16" ht="12.75">
      <c r="A116" s="40"/>
      <c r="B116" s="124"/>
      <c r="C116" s="124"/>
      <c r="D116" s="128">
        <f>'OP1 Rater'!HA41</f>
        <v>200</v>
      </c>
      <c r="E116" s="128">
        <f>'OP1 Rater'!HB41</f>
        <v>250</v>
      </c>
      <c r="F116" s="128">
        <f>'OP1 Rater'!HC41</f>
        <v>500</v>
      </c>
      <c r="G116" s="128">
        <f>'OP1 Rater'!HD41</f>
        <v>750</v>
      </c>
      <c r="H116" s="128">
        <f>'OP1 Rater'!HE41</f>
        <v>1000</v>
      </c>
      <c r="I116" s="128">
        <f>'OP1 Rater'!HF41</f>
        <v>1250</v>
      </c>
      <c r="J116" s="128">
        <f>'OP1 Rater'!HG41</f>
        <v>1500</v>
      </c>
      <c r="K116" s="128">
        <f>'OP1 Rater'!HH41</f>
        <v>1750</v>
      </c>
      <c r="L116" s="128">
        <f>'OP1 Rater'!HI41</f>
        <v>2000</v>
      </c>
      <c r="M116" s="128">
        <f>'OP1 Rater'!HJ41</f>
        <v>2250</v>
      </c>
      <c r="N116" s="128">
        <f>'OP1 Rater'!HK41</f>
        <v>2500</v>
      </c>
      <c r="O116" s="124"/>
      <c r="P116" s="124"/>
    </row>
    <row r="117" spans="1:16" ht="12.75">
      <c r="A117" s="129" t="str">
        <f>'OP1 Rater'!GG42</f>
        <v>Insured Only</v>
      </c>
      <c r="B117" s="130"/>
      <c r="C117" s="124"/>
      <c r="D117" s="131">
        <f>'OP1 Rater'!HA42</f>
        <v>6.21</v>
      </c>
      <c r="E117" s="131">
        <f>'OP1 Rater'!HB42</f>
        <v>7.39</v>
      </c>
      <c r="F117" s="131">
        <f>'OP1 Rater'!HC42</f>
        <v>13.29</v>
      </c>
      <c r="G117" s="131">
        <f>'OP1 Rater'!HD42</f>
        <v>15.95</v>
      </c>
      <c r="H117" s="131">
        <f>'OP1 Rater'!HE42</f>
        <v>17.57</v>
      </c>
      <c r="I117" s="131">
        <f>'OP1 Rater'!HF42</f>
        <v>20.29</v>
      </c>
      <c r="J117" s="131">
        <f>'OP1 Rater'!HG42</f>
        <v>22.14</v>
      </c>
      <c r="K117" s="131">
        <f>'OP1 Rater'!HH42</f>
        <v>23.72</v>
      </c>
      <c r="L117" s="131">
        <f>'OP1 Rater'!HI42</f>
        <v>25.3</v>
      </c>
      <c r="M117" s="131">
        <f>'OP1 Rater'!HJ42</f>
        <v>26.56</v>
      </c>
      <c r="N117" s="131">
        <f>'OP1 Rater'!HK42</f>
        <v>27.82</v>
      </c>
      <c r="O117" s="124"/>
      <c r="P117" s="124"/>
    </row>
    <row r="118" spans="1:16" ht="12.75">
      <c r="A118" s="132" t="str">
        <f>'OP1 Rater'!GG43</f>
        <v>Insured Plus Spouse</v>
      </c>
      <c r="B118" s="133"/>
      <c r="C118" s="124"/>
      <c r="D118" s="131">
        <f>'OP1 Rater'!HA43</f>
        <v>11.15</v>
      </c>
      <c r="E118" s="131">
        <f>'OP1 Rater'!HB43</f>
        <v>13.28</v>
      </c>
      <c r="F118" s="131">
        <f>'OP1 Rater'!HC43</f>
        <v>23.92</v>
      </c>
      <c r="G118" s="131">
        <f>'OP1 Rater'!HD43</f>
        <v>28.68</v>
      </c>
      <c r="H118" s="131">
        <f>'OP1 Rater'!HE43</f>
        <v>31.62</v>
      </c>
      <c r="I118" s="131">
        <f>'OP1 Rater'!HF43</f>
        <v>36.53</v>
      </c>
      <c r="J118" s="131">
        <f>'OP1 Rater'!HG43</f>
        <v>39.85</v>
      </c>
      <c r="K118" s="131">
        <f>'OP1 Rater'!HH43</f>
        <v>42.69</v>
      </c>
      <c r="L118" s="131">
        <f>'OP1 Rater'!HI43</f>
        <v>45.54</v>
      </c>
      <c r="M118" s="131">
        <f>'OP1 Rater'!HJ43</f>
        <v>47.82</v>
      </c>
      <c r="N118" s="131">
        <f>'OP1 Rater'!HK43</f>
        <v>50.08</v>
      </c>
      <c r="O118" s="124"/>
      <c r="P118" s="124"/>
    </row>
    <row r="119" spans="1:16" ht="12.75">
      <c r="A119" s="132" t="str">
        <f>'OP1 Rater'!GG44</f>
        <v>Insured Plus Children</v>
      </c>
      <c r="B119" s="133"/>
      <c r="C119" s="124"/>
      <c r="D119" s="131">
        <f>'OP1 Rater'!HA44</f>
        <v>11.21</v>
      </c>
      <c r="E119" s="131">
        <f>'OP1 Rater'!HB44</f>
        <v>13.35</v>
      </c>
      <c r="F119" s="131">
        <f>'OP1 Rater'!HC44</f>
        <v>24.05</v>
      </c>
      <c r="G119" s="131">
        <f>'OP1 Rater'!HD44</f>
        <v>28.87</v>
      </c>
      <c r="H119" s="131">
        <f>'OP1 Rater'!HE44</f>
        <v>31.81</v>
      </c>
      <c r="I119" s="131">
        <f>'OP1 Rater'!HF44</f>
        <v>36.74</v>
      </c>
      <c r="J119" s="131">
        <f>'OP1 Rater'!HG44</f>
        <v>40.08</v>
      </c>
      <c r="K119" s="131">
        <f>'OP1 Rater'!HH44</f>
        <v>42.94</v>
      </c>
      <c r="L119" s="131">
        <f>'OP1 Rater'!HI44</f>
        <v>45.81</v>
      </c>
      <c r="M119" s="131">
        <f>'OP1 Rater'!HJ44</f>
        <v>48.1</v>
      </c>
      <c r="N119" s="131">
        <f>'OP1 Rater'!HK44</f>
        <v>50.4</v>
      </c>
      <c r="O119" s="124"/>
      <c r="P119" s="124"/>
    </row>
    <row r="120" spans="1:16" ht="12.75">
      <c r="A120" s="134" t="str">
        <f>'OP1 Rater'!GG45</f>
        <v>Insured Plus Family</v>
      </c>
      <c r="B120" s="135"/>
      <c r="C120" s="124"/>
      <c r="D120" s="131">
        <f>'OP1 Rater'!HA45</f>
        <v>16.16</v>
      </c>
      <c r="E120" s="131">
        <f>'OP1 Rater'!HB45</f>
        <v>19.24</v>
      </c>
      <c r="F120" s="131">
        <f>'OP1 Rater'!HC45</f>
        <v>34.69</v>
      </c>
      <c r="G120" s="131">
        <f>'OP1 Rater'!HD45</f>
        <v>41.58</v>
      </c>
      <c r="H120" s="131">
        <f>'OP1 Rater'!HE45</f>
        <v>45.84</v>
      </c>
      <c r="I120" s="131">
        <f>'OP1 Rater'!HF45</f>
        <v>52.94</v>
      </c>
      <c r="J120" s="131">
        <f>'OP1 Rater'!HG45</f>
        <v>57.76</v>
      </c>
      <c r="K120" s="131">
        <f>'OP1 Rater'!HH45</f>
        <v>61.88</v>
      </c>
      <c r="L120" s="131">
        <f>'OP1 Rater'!HI45</f>
        <v>66</v>
      </c>
      <c r="M120" s="131">
        <f>'OP1 Rater'!HJ45</f>
        <v>69.3</v>
      </c>
      <c r="N120" s="131">
        <f>'OP1 Rater'!HK45</f>
        <v>72.59</v>
      </c>
      <c r="O120" s="124"/>
      <c r="P120" s="124"/>
    </row>
    <row r="121" spans="1:16" ht="12.75">
      <c r="A121" s="124"/>
      <c r="B121" s="124"/>
      <c r="C121" s="124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</row>
    <row r="122" spans="1:16" ht="12.75">
      <c r="A122" s="124"/>
      <c r="B122" s="124"/>
      <c r="C122" s="124"/>
      <c r="D122" s="126" t="str">
        <f>'OP1 Rater'!GJ48</f>
        <v>Insured with Attained Age 50+</v>
      </c>
      <c r="E122" s="126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</row>
    <row r="123" spans="1:16" ht="6" customHeight="1">
      <c r="A123" s="124"/>
      <c r="B123" s="124"/>
      <c r="C123" s="124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  <c r="P123" s="124"/>
    </row>
    <row r="124" spans="1:16" ht="12.75">
      <c r="A124" s="124"/>
      <c r="B124" s="124"/>
      <c r="C124" s="124"/>
      <c r="D124" s="245" t="s">
        <v>5</v>
      </c>
      <c r="E124" s="246"/>
      <c r="F124" s="248"/>
      <c r="G124" s="248"/>
      <c r="H124" s="248"/>
      <c r="I124" s="248"/>
      <c r="J124" s="248"/>
      <c r="K124" s="248"/>
      <c r="L124" s="248"/>
      <c r="M124" s="248"/>
      <c r="N124" s="249"/>
      <c r="O124" s="124"/>
      <c r="P124" s="124"/>
    </row>
    <row r="125" spans="1:16" ht="12.75">
      <c r="A125" s="40"/>
      <c r="B125" s="124"/>
      <c r="C125" s="124"/>
      <c r="D125" s="128">
        <f>'OP1 Rater'!HA51</f>
        <v>200</v>
      </c>
      <c r="E125" s="128">
        <f>'OP1 Rater'!HB51</f>
        <v>250</v>
      </c>
      <c r="F125" s="128">
        <f>'OP1 Rater'!HC51</f>
        <v>500</v>
      </c>
      <c r="G125" s="128">
        <f>'OP1 Rater'!HD51</f>
        <v>750</v>
      </c>
      <c r="H125" s="128">
        <f>'OP1 Rater'!HE51</f>
        <v>1000</v>
      </c>
      <c r="I125" s="128">
        <f>'OP1 Rater'!HF51</f>
        <v>1250</v>
      </c>
      <c r="J125" s="128">
        <f>'OP1 Rater'!HG51</f>
        <v>1500</v>
      </c>
      <c r="K125" s="128">
        <f>'OP1 Rater'!HH51</f>
        <v>1750</v>
      </c>
      <c r="L125" s="128">
        <f>'OP1 Rater'!HI51</f>
        <v>2000</v>
      </c>
      <c r="M125" s="128">
        <f>'OP1 Rater'!HJ51</f>
        <v>2250</v>
      </c>
      <c r="N125" s="128">
        <f>'OP1 Rater'!HK51</f>
        <v>2500</v>
      </c>
      <c r="O125" s="124"/>
      <c r="P125" s="124"/>
    </row>
    <row r="126" spans="1:16" ht="12.75">
      <c r="A126" s="129" t="str">
        <f>'OP1 Rater'!GG52</f>
        <v>Insured Only</v>
      </c>
      <c r="B126" s="130"/>
      <c r="C126" s="124"/>
      <c r="D126" s="131">
        <f>'OP1 Rater'!HA52</f>
        <v>12.77</v>
      </c>
      <c r="E126" s="131">
        <f>'OP1 Rater'!HB52</f>
        <v>15.19</v>
      </c>
      <c r="F126" s="131">
        <f>'OP1 Rater'!HC52</f>
        <v>27.33</v>
      </c>
      <c r="G126" s="131">
        <f>'OP1 Rater'!HD52</f>
        <v>32.79</v>
      </c>
      <c r="H126" s="131">
        <f>'OP1 Rater'!HE52</f>
        <v>36.12</v>
      </c>
      <c r="I126" s="131">
        <f>'OP1 Rater'!HF52</f>
        <v>41.72</v>
      </c>
      <c r="J126" s="131">
        <f>'OP1 Rater'!HG52</f>
        <v>45.51</v>
      </c>
      <c r="K126" s="131">
        <f>'OP1 Rater'!HH52</f>
        <v>48.77</v>
      </c>
      <c r="L126" s="131">
        <f>'OP1 Rater'!HI52</f>
        <v>52.02</v>
      </c>
      <c r="M126" s="131">
        <f>'OP1 Rater'!HJ52</f>
        <v>54.63</v>
      </c>
      <c r="N126" s="131">
        <f>'OP1 Rater'!HK52</f>
        <v>57.23</v>
      </c>
      <c r="O126" s="124"/>
      <c r="P126" s="124"/>
    </row>
    <row r="127" spans="1:16" ht="12.75">
      <c r="A127" s="132" t="str">
        <f>'OP1 Rater'!GG53</f>
        <v>Insured Plus Spouse</v>
      </c>
      <c r="B127" s="133"/>
      <c r="C127" s="124"/>
      <c r="D127" s="131">
        <f>'OP1 Rater'!HA53</f>
        <v>23</v>
      </c>
      <c r="E127" s="131">
        <f>'OP1 Rater'!HB53</f>
        <v>27.36</v>
      </c>
      <c r="F127" s="131">
        <f>'OP1 Rater'!HC53</f>
        <v>49.16</v>
      </c>
      <c r="G127" s="131">
        <f>'OP1 Rater'!HD53</f>
        <v>58.99</v>
      </c>
      <c r="H127" s="131">
        <f>'OP1 Rater'!HE53</f>
        <v>65</v>
      </c>
      <c r="I127" s="131">
        <f>'OP1 Rater'!HF53</f>
        <v>75.08</v>
      </c>
      <c r="J127" s="131">
        <f>'OP1 Rater'!HG53</f>
        <v>81.9</v>
      </c>
      <c r="K127" s="131">
        <f>'OP1 Rater'!HH53</f>
        <v>87.75</v>
      </c>
      <c r="L127" s="131">
        <f>'OP1 Rater'!HI53</f>
        <v>93.6</v>
      </c>
      <c r="M127" s="131">
        <f>'OP1 Rater'!HJ53</f>
        <v>98.28</v>
      </c>
      <c r="N127" s="131">
        <f>'OP1 Rater'!HK53</f>
        <v>102.96</v>
      </c>
      <c r="O127" s="124"/>
      <c r="P127" s="124"/>
    </row>
    <row r="128" spans="1:16" ht="12.75">
      <c r="A128" s="132" t="str">
        <f>'OP1 Rater'!GG54</f>
        <v>Insured Plus Children</v>
      </c>
      <c r="B128" s="133"/>
      <c r="C128" s="124"/>
      <c r="D128" s="131">
        <f>'OP1 Rater'!HA54</f>
        <v>20.43</v>
      </c>
      <c r="E128" s="131">
        <f>'OP1 Rater'!HB54</f>
        <v>24.31</v>
      </c>
      <c r="F128" s="131">
        <f>'OP1 Rater'!HC54</f>
        <v>43.72</v>
      </c>
      <c r="G128" s="131">
        <f>'OP1 Rater'!HD54</f>
        <v>52.5</v>
      </c>
      <c r="H128" s="131">
        <f>'OP1 Rater'!HE54</f>
        <v>57.85</v>
      </c>
      <c r="I128" s="131">
        <f>'OP1 Rater'!HF54</f>
        <v>66.81</v>
      </c>
      <c r="J128" s="131">
        <f>'OP1 Rater'!HG54</f>
        <v>72.89</v>
      </c>
      <c r="K128" s="131">
        <f>'OP1 Rater'!HH54</f>
        <v>78.09</v>
      </c>
      <c r="L128" s="131">
        <f>'OP1 Rater'!HI54</f>
        <v>83.29</v>
      </c>
      <c r="M128" s="131">
        <f>'OP1 Rater'!HJ54</f>
        <v>87.46</v>
      </c>
      <c r="N128" s="131">
        <f>'OP1 Rater'!HK54</f>
        <v>91.62</v>
      </c>
      <c r="O128" s="124"/>
      <c r="P128" s="124"/>
    </row>
    <row r="129" spans="1:16" ht="12.75">
      <c r="A129" s="134" t="str">
        <f>'OP1 Rater'!GG55</f>
        <v>Insured Plus Family</v>
      </c>
      <c r="B129" s="135"/>
      <c r="C129" s="124"/>
      <c r="D129" s="131">
        <f>'OP1 Rater'!HA55</f>
        <v>30.23</v>
      </c>
      <c r="E129" s="131">
        <f>'OP1 Rater'!HB55</f>
        <v>36.12</v>
      </c>
      <c r="F129" s="131">
        <f>'OP1 Rater'!HC55</f>
        <v>65.58</v>
      </c>
      <c r="G129" s="131">
        <f>'OP1 Rater'!HD55</f>
        <v>78.65</v>
      </c>
      <c r="H129" s="131">
        <f>'OP1 Rater'!HE55</f>
        <v>86.67</v>
      </c>
      <c r="I129" s="131">
        <f>'OP1 Rater'!HF55</f>
        <v>100.1</v>
      </c>
      <c r="J129" s="131">
        <f>'OP1 Rater'!HG55</f>
        <v>109.2</v>
      </c>
      <c r="K129" s="131">
        <f>'OP1 Rater'!HH55</f>
        <v>117.01</v>
      </c>
      <c r="L129" s="131">
        <f>'OP1 Rater'!HI55</f>
        <v>124.82</v>
      </c>
      <c r="M129" s="131">
        <f>'OP1 Rater'!HJ55</f>
        <v>131.06</v>
      </c>
      <c r="N129" s="131">
        <f>'OP1 Rater'!HK55</f>
        <v>137.31</v>
      </c>
      <c r="O129" s="124"/>
      <c r="P129" s="124"/>
    </row>
    <row r="130" spans="1:16" ht="12.75">
      <c r="A130" s="124"/>
      <c r="B130" s="124"/>
      <c r="C130" s="124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  <c r="P130" s="124"/>
    </row>
    <row r="131" spans="1:16" ht="12.75">
      <c r="A131" s="124"/>
      <c r="B131" s="124"/>
      <c r="C131" s="124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  <c r="P131" s="124"/>
    </row>
    <row r="132" spans="1:16" ht="12.75">
      <c r="A132" s="124"/>
      <c r="B132" s="124"/>
      <c r="C132" s="124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  <c r="P132" s="124"/>
    </row>
    <row r="133" spans="1:16" ht="12.75">
      <c r="A133" s="124"/>
      <c r="B133" s="124"/>
      <c r="C133" s="124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  <c r="P133" s="124"/>
    </row>
    <row r="134" spans="1:16" ht="12.75">
      <c r="A134" s="124"/>
      <c r="B134" s="124"/>
      <c r="C134" s="124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  <c r="P134" s="124"/>
    </row>
    <row r="135" spans="1:16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6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1:16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1:16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1:16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1:16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1:16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1:16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6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1:16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1:16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1:16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1:16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1:16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1:16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1:16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1:16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1:16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1:16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1:16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1:16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1:16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1:16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1:16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1:16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1:16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1:16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1:16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1:16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1:16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1:16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1:16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1:16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1:16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1:16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1:16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1:16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1:16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1:16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1:16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1:16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1:16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1:16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1:16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1:16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1:16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1:16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1:16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1:16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1:16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1:16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1:16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1:16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1:16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1:16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spans="1:16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spans="1:16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1:16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spans="1:16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1:16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1:16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spans="1:16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1:16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spans="1:16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spans="1:16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spans="1:16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1:16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1:16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5" spans="1:16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16" spans="1:16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 spans="1:16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 spans="1:16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</row>
    <row r="219" spans="1:16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</row>
    <row r="220" spans="1:16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 spans="1:16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 spans="1:16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1:16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1:16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1:16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1:16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1:16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1:16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1:16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1:16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1:16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1:16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1:16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1:16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1:16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1:16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1:16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1:16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1:16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1:16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1:16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1:16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1:16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1:16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1:16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1:16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1:16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1:16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1:16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1:16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1:16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1:16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1:16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1:16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1:16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1:16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1:16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1:16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1:16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1:16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1:16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1:16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1:16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1:16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1:16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1:16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1:16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1:16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1:16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1:16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1:16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1:16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1:16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1:16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1:16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1:16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1:16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1:16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1:16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1:16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1:16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1:16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1:16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1:16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1:16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1:16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1:16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1:16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1:16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1:16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1:16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1:16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1:16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1:16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1:16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1:16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1:16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1:16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1:16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1:16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1:16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1:16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1:16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1:16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1:16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1:16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1:16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1:16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1:16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1:16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1:16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1:16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1:16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1:16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1:16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1:16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1:16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1:16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1:16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1:16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1:16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1:16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1:16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1:16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1:16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1:16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1:16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1:16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1:16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1:16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1:16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1:16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1:16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1:16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1:16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1:16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1:16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1:16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1:16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1:16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1:16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1:16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1:16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1:16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1:16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1:16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1:16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1:16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1:16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1:16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1:16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 spans="1:16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 spans="1:16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 spans="1:16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 spans="1:16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 spans="1:16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 spans="1:16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 spans="1:16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 spans="1:16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 spans="1:16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</row>
    <row r="361" spans="1:16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</row>
    <row r="362" spans="1:16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</row>
    <row r="363" spans="1:16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 spans="1:16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 spans="1:16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 spans="1:16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</row>
    <row r="367" spans="1:16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368" spans="1:16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 spans="1:16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 spans="1:16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 spans="1:16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 spans="1:16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 spans="1:16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 spans="1:16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1:16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 spans="1:16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1:16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</row>
    <row r="378" spans="1:16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</row>
    <row r="379" spans="1:16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</row>
    <row r="380" spans="1:16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</row>
    <row r="381" spans="1:16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</row>
    <row r="382" spans="1:16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</row>
    <row r="383" spans="1:16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</row>
    <row r="384" spans="1:16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</row>
    <row r="385" spans="1:16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</row>
    <row r="386" spans="1:16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</row>
    <row r="387" spans="1:16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</row>
    <row r="388" spans="1:16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</row>
    <row r="389" spans="1:16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</row>
    <row r="390" spans="1:16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</row>
    <row r="391" spans="1:16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</row>
    <row r="392" spans="1:16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</row>
    <row r="393" spans="1:16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</row>
    <row r="394" spans="1:16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</row>
    <row r="395" spans="1:16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</row>
    <row r="396" spans="1:16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</row>
    <row r="397" spans="1:16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</row>
    <row r="398" spans="1:16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</row>
    <row r="399" spans="1:16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</row>
    <row r="400" spans="1:16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</row>
    <row r="401" spans="1:16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</row>
    <row r="402" spans="1:16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</row>
    <row r="403" spans="1:16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</row>
    <row r="404" spans="1:16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</row>
    <row r="405" spans="1:16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</row>
    <row r="406" spans="1:16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</row>
    <row r="407" spans="1:16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</row>
    <row r="408" spans="1:16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</row>
    <row r="409" spans="1:16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</row>
    <row r="410" spans="1:16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</row>
    <row r="411" spans="1:16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</row>
    <row r="412" spans="1:16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</row>
    <row r="413" spans="1:16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</row>
    <row r="414" spans="1:16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</row>
    <row r="415" spans="1:16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</row>
    <row r="416" spans="1:16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</row>
    <row r="417" spans="1:16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</row>
    <row r="418" spans="1:16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</row>
    <row r="419" spans="1:16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</row>
    <row r="420" spans="1:16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</row>
    <row r="421" spans="1:16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</row>
    <row r="422" spans="1:16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</row>
    <row r="423" spans="1:16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</row>
    <row r="424" spans="1:16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</row>
    <row r="425" spans="1:16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</row>
    <row r="426" spans="1:16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</row>
    <row r="427" spans="1:16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</row>
    <row r="428" spans="1:16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</row>
    <row r="429" spans="1:16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</row>
    <row r="430" spans="1:16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</row>
    <row r="431" spans="1:16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</row>
    <row r="432" spans="1:16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</row>
    <row r="433" spans="1:16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</row>
    <row r="434" spans="1:16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</row>
    <row r="435" spans="1:16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</row>
    <row r="436" spans="1:16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</row>
    <row r="437" spans="1:16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</row>
    <row r="438" spans="1:16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</row>
    <row r="439" spans="1:16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</row>
    <row r="440" spans="1:16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</row>
    <row r="441" spans="1:16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</row>
    <row r="442" spans="1:16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</row>
    <row r="443" spans="1:16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</row>
    <row r="444" spans="1:16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</row>
    <row r="445" spans="1:16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</row>
    <row r="446" spans="1:16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</row>
    <row r="447" spans="1:16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</row>
    <row r="448" spans="1:16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</row>
    <row r="449" spans="1:16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</row>
    <row r="450" spans="1:16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</row>
    <row r="451" spans="1:16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</row>
    <row r="452" spans="1:16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</row>
    <row r="453" spans="1:16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</row>
    <row r="454" spans="1:16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</row>
    <row r="455" spans="1:16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</row>
    <row r="456" spans="1:16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</row>
    <row r="457" spans="1:16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</row>
    <row r="458" spans="1:16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</row>
    <row r="459" spans="1:16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</row>
    <row r="460" spans="1:16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</row>
    <row r="461" spans="1:16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</row>
    <row r="462" spans="1:16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</row>
    <row r="463" spans="1:16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</row>
    <row r="464" spans="1:16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</row>
    <row r="465" spans="1:16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</row>
    <row r="466" spans="1:16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</row>
    <row r="467" spans="1:16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</row>
    <row r="468" spans="1:16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</row>
    <row r="469" spans="1:16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</row>
    <row r="470" spans="1:16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</row>
    <row r="471" spans="1:16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</row>
    <row r="472" spans="1:16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</row>
    <row r="473" spans="1:16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</row>
    <row r="474" spans="1:16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</row>
    <row r="475" spans="1:16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</row>
    <row r="476" spans="1:16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</row>
    <row r="477" spans="1:16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</row>
    <row r="478" spans="1:16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</row>
    <row r="479" spans="1:16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</row>
    <row r="480" spans="1:16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</row>
    <row r="481" spans="1:16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</row>
    <row r="482" spans="1:16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</row>
    <row r="483" spans="1:16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</row>
    <row r="484" spans="1:16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</row>
    <row r="485" spans="1:16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</row>
    <row r="486" spans="1:16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</row>
    <row r="487" spans="1:16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</row>
    <row r="488" spans="1:16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</row>
    <row r="489" spans="1:16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</row>
    <row r="490" spans="1:16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</row>
    <row r="491" spans="1:16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</row>
    <row r="492" spans="1:16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</row>
    <row r="493" spans="1:16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</row>
    <row r="494" spans="1:16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</row>
    <row r="495" spans="1:16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</row>
    <row r="496" spans="1:16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</row>
    <row r="497" spans="1:16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</row>
    <row r="498" spans="1:16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</row>
    <row r="499" spans="1:16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</row>
    <row r="500" spans="1:16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</row>
    <row r="501" spans="1:16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</row>
    <row r="502" spans="1:16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</row>
    <row r="503" spans="1:16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</row>
    <row r="504" spans="1:16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</row>
    <row r="505" spans="1:16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</row>
    <row r="506" spans="1:16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</row>
    <row r="507" spans="1:16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</row>
    <row r="508" spans="1:16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</row>
    <row r="509" spans="1:16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</row>
    <row r="510" spans="1:16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</row>
    <row r="511" spans="1:16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</row>
    <row r="512" spans="1:16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</row>
    <row r="513" spans="1:16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</row>
    <row r="514" spans="1:16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</row>
    <row r="515" spans="1:16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</row>
    <row r="516" spans="1:16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</row>
    <row r="517" spans="1:16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</row>
    <row r="518" spans="1:16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</row>
    <row r="519" spans="1:16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</row>
    <row r="520" spans="1:16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</row>
    <row r="521" spans="1:16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</row>
    <row r="522" spans="1:16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</row>
    <row r="523" spans="1:16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</row>
    <row r="524" spans="1:16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</row>
    <row r="525" spans="1:16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</row>
    <row r="526" spans="1:16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</row>
    <row r="527" spans="1:16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</row>
    <row r="528" spans="1:16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</row>
    <row r="529" spans="1:16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</row>
    <row r="530" spans="1:16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</row>
    <row r="531" spans="1:16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</row>
    <row r="532" spans="1:16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</row>
    <row r="533" spans="1:16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</row>
    <row r="534" spans="1:16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</row>
    <row r="535" spans="1:16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</row>
    <row r="536" spans="1:16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</row>
    <row r="537" spans="1:16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</row>
    <row r="538" spans="1:16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</row>
    <row r="539" spans="1:16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</row>
    <row r="540" spans="1:16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</row>
    <row r="541" spans="1:16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</row>
    <row r="542" spans="1:16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</row>
    <row r="543" spans="1:16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</row>
    <row r="544" spans="1:16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</row>
    <row r="545" spans="1:16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</row>
    <row r="546" spans="1:16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</row>
    <row r="547" spans="1:16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</row>
    <row r="548" spans="1:16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</row>
    <row r="549" spans="1:16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</row>
    <row r="550" spans="1:16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</row>
    <row r="551" spans="1:16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</row>
    <row r="552" spans="1:16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</row>
    <row r="553" spans="1:16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</row>
    <row r="554" spans="1:16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</row>
    <row r="555" spans="1:16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</row>
    <row r="556" spans="1:16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</row>
    <row r="557" spans="1:16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</row>
    <row r="558" spans="1:16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</row>
    <row r="559" spans="1:16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</row>
    <row r="560" spans="1:16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</row>
    <row r="561" spans="1:16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</row>
    <row r="562" spans="1:16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</row>
    <row r="563" spans="1:16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</row>
    <row r="564" spans="1:16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</row>
    <row r="565" spans="1:16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</row>
    <row r="566" spans="1:16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</row>
    <row r="567" spans="1:16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</row>
    <row r="568" spans="1:16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</row>
    <row r="569" spans="1:16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</row>
    <row r="570" spans="1:16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</row>
    <row r="571" spans="1:16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</row>
    <row r="572" spans="1:16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</row>
    <row r="573" spans="1:16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</row>
    <row r="574" spans="1:16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</row>
    <row r="575" spans="1:16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</row>
    <row r="576" spans="1:16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</row>
    <row r="577" spans="1:16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</row>
    <row r="578" spans="1:16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</row>
    <row r="579" spans="1:16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</row>
    <row r="580" spans="1:16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</row>
    <row r="581" spans="1:16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</row>
    <row r="582" spans="1:16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</row>
    <row r="583" spans="1:16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</row>
    <row r="584" spans="1:16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</row>
    <row r="585" spans="1:16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</row>
    <row r="586" spans="1:16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</row>
    <row r="587" spans="1:16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</row>
    <row r="588" spans="1:16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</row>
    <row r="589" spans="1:16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</row>
    <row r="590" spans="1:16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</row>
    <row r="591" spans="1:16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</row>
    <row r="592" spans="1:16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</row>
    <row r="593" spans="1:16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</row>
    <row r="594" spans="1:16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</row>
    <row r="595" spans="1:16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</row>
    <row r="596" spans="1:16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</row>
    <row r="597" spans="1:16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</row>
    <row r="598" spans="1:16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</row>
    <row r="599" spans="1:16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</row>
    <row r="600" spans="1:16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</row>
    <row r="601" spans="1:16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</row>
    <row r="602" spans="1:16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</row>
    <row r="603" spans="1:16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</row>
    <row r="604" spans="1:16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</row>
    <row r="605" spans="1:16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</row>
    <row r="606" spans="1:16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</row>
    <row r="607" spans="1:16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</row>
    <row r="608" spans="1:16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</row>
    <row r="609" spans="1:16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</row>
    <row r="610" spans="1:16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</row>
    <row r="611" spans="1:16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</row>
    <row r="612" spans="1:16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</row>
    <row r="613" spans="1:16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</row>
    <row r="614" spans="1:16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</row>
    <row r="615" spans="1:16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</row>
    <row r="616" spans="1:16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</row>
    <row r="617" spans="1:16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</row>
    <row r="618" spans="1:16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</row>
    <row r="619" spans="1:16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</row>
    <row r="620" spans="1:16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</row>
    <row r="621" spans="1:16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</row>
    <row r="622" spans="1:16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</row>
    <row r="623" spans="1:16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</row>
    <row r="624" spans="1:16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</row>
    <row r="625" spans="1:16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</row>
    <row r="626" spans="1:16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</row>
    <row r="627" spans="1:16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</row>
    <row r="628" spans="1:16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</row>
    <row r="629" spans="1:16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</row>
    <row r="630" spans="1:16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</row>
    <row r="631" spans="1:16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</row>
    <row r="632" spans="1:16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</row>
    <row r="633" spans="1:16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</row>
    <row r="634" spans="1:16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</row>
    <row r="635" spans="1:16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</row>
    <row r="636" spans="1:16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</row>
    <row r="637" spans="1:16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</row>
    <row r="638" spans="1:16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</row>
    <row r="639" spans="1:16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</row>
    <row r="640" spans="1:16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</row>
    <row r="641" spans="1:16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</row>
    <row r="642" spans="1:16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</row>
    <row r="643" spans="1:16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</row>
    <row r="644" spans="1:16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</row>
    <row r="645" spans="1:16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</row>
    <row r="646" spans="1:16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</row>
    <row r="647" spans="1:16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</row>
    <row r="648" spans="1:16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</row>
    <row r="649" spans="1:16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</row>
    <row r="650" spans="1:16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</row>
    <row r="651" spans="1:16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</row>
    <row r="652" spans="1:16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</row>
    <row r="653" spans="1:16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</row>
    <row r="654" spans="1:16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</row>
    <row r="655" spans="1:16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</row>
    <row r="656" spans="1:16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</row>
    <row r="657" spans="1:16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</row>
    <row r="658" spans="1:16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</row>
    <row r="659" spans="1:16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</row>
    <row r="660" spans="1:16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</row>
    <row r="661" spans="1:16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</row>
    <row r="662" spans="1:16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</row>
    <row r="663" spans="1:16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</row>
    <row r="664" spans="1:16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</row>
    <row r="665" spans="1:16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</row>
    <row r="666" spans="1:16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</row>
    <row r="667" spans="1:16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</row>
    <row r="668" spans="1:16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</row>
    <row r="669" spans="1:16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</row>
    <row r="670" spans="1:16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</row>
    <row r="671" spans="1:16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</row>
    <row r="672" spans="1:16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</row>
    <row r="673" spans="1:16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</row>
    <row r="674" spans="1:16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</row>
    <row r="675" spans="1:16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</row>
    <row r="676" spans="1:16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</row>
    <row r="677" spans="1:16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</row>
    <row r="678" spans="1:16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</row>
    <row r="679" spans="1:16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</row>
    <row r="680" spans="1:16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</row>
    <row r="681" spans="1:16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</row>
    <row r="682" spans="1:16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</row>
    <row r="683" spans="1:16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</row>
    <row r="684" spans="1:16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</row>
    <row r="685" spans="1:16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</row>
    <row r="686" spans="1:16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</row>
    <row r="687" spans="1:16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</row>
    <row r="688" spans="1:16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</row>
    <row r="689" spans="1:16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</row>
    <row r="690" spans="1:16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</row>
    <row r="691" spans="1:16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</row>
    <row r="692" spans="1:16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</row>
    <row r="693" spans="1:16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</row>
    <row r="694" spans="1:16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</row>
    <row r="695" spans="1:16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</row>
    <row r="696" spans="1:16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</row>
    <row r="697" spans="1:16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</row>
    <row r="698" spans="1:16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</row>
    <row r="699" spans="1:16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</row>
    <row r="700" spans="1:16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</row>
    <row r="701" spans="1:16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</row>
    <row r="702" spans="1:16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</row>
    <row r="703" spans="1:16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</row>
    <row r="704" spans="1:16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</row>
    <row r="705" spans="1:16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</row>
    <row r="706" spans="1:16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</row>
    <row r="707" spans="1:16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</row>
    <row r="708" spans="1:16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</row>
    <row r="709" spans="1:16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</row>
    <row r="710" spans="1:16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</row>
    <row r="711" spans="1:16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</row>
    <row r="712" spans="1:16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</row>
    <row r="713" spans="1:16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</row>
    <row r="714" spans="1:16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</row>
    <row r="715" spans="1:16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</row>
    <row r="716" spans="1:16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</row>
    <row r="717" spans="1:16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</row>
    <row r="718" spans="1:16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</row>
    <row r="719" spans="1:16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</row>
    <row r="720" spans="1:16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</row>
    <row r="721" spans="1:16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</row>
    <row r="722" spans="1:16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</row>
    <row r="723" spans="1:16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</row>
    <row r="724" spans="1:16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</row>
    <row r="725" spans="1:16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</row>
    <row r="726" spans="1:16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</row>
    <row r="727" spans="1:16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</row>
    <row r="728" spans="1:16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</row>
    <row r="729" spans="1:16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</row>
    <row r="730" spans="1:16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</row>
    <row r="731" spans="1:16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</row>
    <row r="732" spans="1:16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</row>
    <row r="733" spans="1:16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</row>
    <row r="734" spans="1:16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</row>
    <row r="735" spans="1:16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</row>
    <row r="736" spans="1:16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</row>
    <row r="737" spans="1:16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</row>
    <row r="738" spans="1:16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</row>
    <row r="739" spans="1:16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</row>
    <row r="740" spans="1:16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</row>
    <row r="741" spans="1:16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</row>
    <row r="742" spans="1:16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</row>
    <row r="743" spans="1:16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</row>
    <row r="744" spans="1:16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</row>
    <row r="745" spans="1:16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</row>
    <row r="746" spans="1:16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</row>
    <row r="747" spans="1:16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</row>
    <row r="748" spans="1:16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</row>
    <row r="749" spans="1:16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</row>
    <row r="750" spans="1:16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</row>
    <row r="751" spans="1:16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</row>
    <row r="752" spans="1:16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</row>
    <row r="753" spans="1:16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</row>
    <row r="754" spans="1:16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</row>
    <row r="755" spans="1:16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</row>
    <row r="756" spans="1:16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</row>
    <row r="757" spans="1:16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</row>
  </sheetData>
  <sheetProtection password="DF46" sheet="1" selectLockedCells="1"/>
  <mergeCells count="15">
    <mergeCell ref="D46:N46"/>
    <mergeCell ref="D55:N55"/>
    <mergeCell ref="D64:N64"/>
    <mergeCell ref="D8:N8"/>
    <mergeCell ref="D9:N9"/>
    <mergeCell ref="D10:N10"/>
    <mergeCell ref="D16:N16"/>
    <mergeCell ref="D25:N25"/>
    <mergeCell ref="D34:N34"/>
    <mergeCell ref="D76:N76"/>
    <mergeCell ref="D85:N85"/>
    <mergeCell ref="D94:N94"/>
    <mergeCell ref="D106:N106"/>
    <mergeCell ref="D115:N115"/>
    <mergeCell ref="D124:N124"/>
  </mergeCells>
  <printOptions/>
  <pageMargins left="0.38" right="0.2" top="0.35" bottom="0.32" header="0.3" footer="0.3"/>
  <pageSetup horizontalDpi="600" verticalDpi="600" orientation="portrait" scale="80" r:id="rId2"/>
  <headerFooter>
    <oddFooter>&amp;L&amp;8All States Rater v. 2013-09-01&amp;R&amp;8&amp;P</oddFooter>
  </headerFooter>
  <rowBreaks count="1" manualBreakCount="1">
    <brk id="7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O757"/>
  <sheetViews>
    <sheetView zoomScalePageLayoutView="0" workbookViewId="0" topLeftCell="A1">
      <selection activeCell="A6" sqref="A6"/>
    </sheetView>
  </sheetViews>
  <sheetFormatPr defaultColWidth="9.140625" defaultRowHeight="12.75"/>
  <cols>
    <col min="2" max="2" width="10.421875" style="0" customWidth="1"/>
    <col min="3" max="3" width="2.57421875" style="0" customWidth="1"/>
  </cols>
  <sheetData>
    <row r="1" spans="1:15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2.75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2"/>
      <c r="O7" s="2"/>
    </row>
    <row r="8" spans="1:15" ht="12.75">
      <c r="A8" s="124"/>
      <c r="B8" s="124"/>
      <c r="C8" s="124"/>
      <c r="D8" s="205" t="s">
        <v>97</v>
      </c>
      <c r="E8" s="205"/>
      <c r="F8" s="205"/>
      <c r="G8" s="205"/>
      <c r="H8" s="205"/>
      <c r="I8" s="205"/>
      <c r="J8" s="205"/>
      <c r="K8" s="205"/>
      <c r="L8" s="205"/>
      <c r="M8" s="205"/>
      <c r="N8" s="2"/>
      <c r="O8" s="2"/>
    </row>
    <row r="9" spans="1:15" ht="12.75">
      <c r="A9" s="124"/>
      <c r="B9" s="124"/>
      <c r="C9" s="124"/>
      <c r="D9" s="243" t="s">
        <v>96</v>
      </c>
      <c r="E9" s="243"/>
      <c r="F9" s="243"/>
      <c r="G9" s="243"/>
      <c r="H9" s="243"/>
      <c r="I9" s="243"/>
      <c r="J9" s="243"/>
      <c r="K9" s="243"/>
      <c r="L9" s="243"/>
      <c r="M9" s="243"/>
      <c r="N9" s="2"/>
      <c r="O9" s="2"/>
    </row>
    <row r="10" spans="1:15" ht="12.75">
      <c r="A10" s="124"/>
      <c r="B10" s="124"/>
      <c r="C10" s="124"/>
      <c r="D10" s="251" t="s">
        <v>95</v>
      </c>
      <c r="E10" s="251"/>
      <c r="F10" s="251"/>
      <c r="G10" s="251"/>
      <c r="H10" s="251"/>
      <c r="I10" s="251"/>
      <c r="J10" s="251"/>
      <c r="K10" s="251"/>
      <c r="L10" s="251"/>
      <c r="M10" s="251"/>
      <c r="N10" s="2"/>
      <c r="O10" s="2"/>
    </row>
    <row r="11" spans="1:15" ht="12.75">
      <c r="A11" s="124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2"/>
      <c r="O11" s="2"/>
    </row>
    <row r="12" spans="1:15" ht="12.75">
      <c r="A12" s="125" t="str">
        <f>'OP1 Rater'!U24</f>
        <v>FLORIDA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2"/>
      <c r="O12" s="2"/>
    </row>
    <row r="13" spans="1:15" ht="6" customHeight="1">
      <c r="A13" s="40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2"/>
      <c r="O13" s="2"/>
    </row>
    <row r="14" spans="1:15" ht="12.75">
      <c r="A14" s="124"/>
      <c r="B14" s="124"/>
      <c r="C14" s="124"/>
      <c r="D14" s="126" t="str">
        <f>'OP1 Rater'!X28</f>
        <v>Insured with Attained Age Under 40</v>
      </c>
      <c r="E14" s="124"/>
      <c r="F14" s="124"/>
      <c r="G14" s="124"/>
      <c r="H14" s="124"/>
      <c r="I14" s="124"/>
      <c r="J14" s="124"/>
      <c r="K14" s="124"/>
      <c r="L14" s="124"/>
      <c r="M14" s="124"/>
      <c r="N14" s="2"/>
      <c r="O14" s="2"/>
    </row>
    <row r="15" spans="1:15" ht="6" customHeight="1">
      <c r="A15" s="124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2"/>
      <c r="O15" s="2"/>
    </row>
    <row r="16" spans="1:15" ht="12.75">
      <c r="A16" s="124"/>
      <c r="B16" s="124"/>
      <c r="C16" s="124"/>
      <c r="D16" s="245" t="s">
        <v>5</v>
      </c>
      <c r="E16" s="246"/>
      <c r="F16" s="246"/>
      <c r="G16" s="246"/>
      <c r="H16" s="246"/>
      <c r="I16" s="246"/>
      <c r="J16" s="246"/>
      <c r="K16" s="246"/>
      <c r="L16" s="246"/>
      <c r="M16" s="247"/>
      <c r="N16" s="2"/>
      <c r="O16" s="2"/>
    </row>
    <row r="17" spans="1:15" ht="12.75">
      <c r="A17" s="124"/>
      <c r="B17" s="124"/>
      <c r="C17" s="124"/>
      <c r="D17" s="128">
        <f>'OP2 Rater'!AO31</f>
        <v>250</v>
      </c>
      <c r="E17" s="128">
        <f>'OP2 Rater'!AP31</f>
        <v>500</v>
      </c>
      <c r="F17" s="128">
        <f>'OP2 Rater'!AQ31</f>
        <v>750</v>
      </c>
      <c r="G17" s="128">
        <f>'OP2 Rater'!AR31</f>
        <v>1000</v>
      </c>
      <c r="H17" s="128">
        <f>'OP2 Rater'!AS31</f>
        <v>1250</v>
      </c>
      <c r="I17" s="128">
        <f>'OP2 Rater'!AT31</f>
        <v>1500</v>
      </c>
      <c r="J17" s="128">
        <f>'OP2 Rater'!AU31</f>
        <v>1750</v>
      </c>
      <c r="K17" s="128">
        <f>'OP2 Rater'!AV31</f>
        <v>2000</v>
      </c>
      <c r="L17" s="128">
        <f>'OP2 Rater'!AW31</f>
        <v>2250</v>
      </c>
      <c r="M17" s="128">
        <f>'OP2 Rater'!AX31</f>
        <v>2500</v>
      </c>
      <c r="N17" s="2"/>
      <c r="O17" s="2"/>
    </row>
    <row r="18" spans="1:15" ht="12.75">
      <c r="A18" s="129" t="str">
        <f>'OP1 Rater'!U32</f>
        <v>Insured Only</v>
      </c>
      <c r="B18" s="130"/>
      <c r="C18" s="124"/>
      <c r="D18" s="131">
        <f>'OP2 Rater'!AO32</f>
        <v>4.7</v>
      </c>
      <c r="E18" s="131">
        <f>'OP2 Rater'!AP32</f>
        <v>8.46</v>
      </c>
      <c r="F18" s="131">
        <f>'OP2 Rater'!AQ32</f>
        <v>10.15</v>
      </c>
      <c r="G18" s="131">
        <f>'OP2 Rater'!AR32</f>
        <v>11.74</v>
      </c>
      <c r="H18" s="131">
        <f>'OP2 Rater'!AS32</f>
        <v>12.92</v>
      </c>
      <c r="I18" s="131">
        <f>'OP2 Rater'!AT32</f>
        <v>14.09</v>
      </c>
      <c r="J18" s="131">
        <f>'OP2 Rater'!AU32</f>
        <v>15.1</v>
      </c>
      <c r="K18" s="131">
        <f>'OP2 Rater'!AV32</f>
        <v>16.1</v>
      </c>
      <c r="L18" s="131">
        <f>'OP2 Rater'!AW32</f>
        <v>16.91</v>
      </c>
      <c r="M18" s="131">
        <f>'OP2 Rater'!AX32</f>
        <v>17.72</v>
      </c>
      <c r="N18" s="2"/>
      <c r="O18" s="2"/>
    </row>
    <row r="19" spans="1:15" ht="12.75">
      <c r="A19" s="132" t="str">
        <f>'OP1 Rater'!U33</f>
        <v>Insured Plus Spouse</v>
      </c>
      <c r="B19" s="133"/>
      <c r="C19" s="124"/>
      <c r="D19" s="131">
        <f>'OP2 Rater'!AO33</f>
        <v>8.45</v>
      </c>
      <c r="E19" s="131">
        <f>'OP2 Rater'!AP33</f>
        <v>15.22</v>
      </c>
      <c r="F19" s="131">
        <f>'OP2 Rater'!AQ33</f>
        <v>18.26</v>
      </c>
      <c r="G19" s="131">
        <f>'OP2 Rater'!AR33</f>
        <v>21.15</v>
      </c>
      <c r="H19" s="131">
        <f>'OP2 Rater'!AS33</f>
        <v>23.27</v>
      </c>
      <c r="I19" s="131">
        <f>'OP2 Rater'!AT33</f>
        <v>25.39</v>
      </c>
      <c r="J19" s="131">
        <f>'OP2 Rater'!AU33</f>
        <v>27.2</v>
      </c>
      <c r="K19" s="131">
        <f>'OP2 Rater'!AV33</f>
        <v>29</v>
      </c>
      <c r="L19" s="131">
        <f>'OP2 Rater'!AW33</f>
        <v>30.45</v>
      </c>
      <c r="M19" s="131">
        <f>'OP2 Rater'!AX33</f>
        <v>31.9</v>
      </c>
      <c r="N19" s="2"/>
      <c r="O19" s="2"/>
    </row>
    <row r="20" spans="1:15" ht="12.75">
      <c r="A20" s="132" t="str">
        <f>'OP1 Rater'!U34</f>
        <v>Insured Plus Children</v>
      </c>
      <c r="B20" s="133"/>
      <c r="C20" s="124"/>
      <c r="D20" s="131">
        <f>'OP2 Rater'!AO34</f>
        <v>10.16</v>
      </c>
      <c r="E20" s="131">
        <f>'OP2 Rater'!AP34</f>
        <v>18.31</v>
      </c>
      <c r="F20" s="131">
        <f>'OP2 Rater'!AQ34</f>
        <v>21.98</v>
      </c>
      <c r="G20" s="131">
        <f>'OP2 Rater'!AR34</f>
        <v>25.42</v>
      </c>
      <c r="H20" s="131">
        <f>'OP2 Rater'!AS34</f>
        <v>27.96</v>
      </c>
      <c r="I20" s="131">
        <f>'OP2 Rater'!AT34</f>
        <v>30.5</v>
      </c>
      <c r="J20" s="131">
        <f>'OP2 Rater'!AU34</f>
        <v>32.68</v>
      </c>
      <c r="K20" s="131">
        <f>'OP2 Rater'!AV34</f>
        <v>34.86</v>
      </c>
      <c r="L20" s="131">
        <f>'OP2 Rater'!AW34</f>
        <v>36.61</v>
      </c>
      <c r="M20" s="131">
        <f>'OP2 Rater'!AX34</f>
        <v>38.35</v>
      </c>
      <c r="N20" s="2"/>
      <c r="O20" s="2"/>
    </row>
    <row r="21" spans="1:15" ht="12.75">
      <c r="A21" s="134" t="str">
        <f>'OP1 Rater'!U35</f>
        <v>Insured Plus Family</v>
      </c>
      <c r="B21" s="135"/>
      <c r="C21" s="124"/>
      <c r="D21" s="131">
        <f>'OP2 Rater'!AO35</f>
        <v>13.91</v>
      </c>
      <c r="E21" s="131">
        <f>'OP2 Rater'!AP35</f>
        <v>25.07</v>
      </c>
      <c r="F21" s="131">
        <f>'OP2 Rater'!AQ35</f>
        <v>30.05</v>
      </c>
      <c r="G21" s="131">
        <f>'OP2 Rater'!AR35</f>
        <v>34.79</v>
      </c>
      <c r="H21" s="131">
        <f>'OP2 Rater'!AS35</f>
        <v>38.27</v>
      </c>
      <c r="I21" s="131">
        <f>'OP2 Rater'!AT35</f>
        <v>41.76</v>
      </c>
      <c r="J21" s="131">
        <f>'OP2 Rater'!AU35</f>
        <v>44.74</v>
      </c>
      <c r="K21" s="131">
        <f>'OP2 Rater'!AV35</f>
        <v>47.72</v>
      </c>
      <c r="L21" s="131">
        <f>'OP2 Rater'!AW35</f>
        <v>50.11</v>
      </c>
      <c r="M21" s="131">
        <f>'OP2 Rater'!AX35</f>
        <v>52.49</v>
      </c>
      <c r="N21" s="2"/>
      <c r="O21" s="2"/>
    </row>
    <row r="22" spans="1:15" ht="12.75">
      <c r="A22" s="124"/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2"/>
      <c r="O22" s="2"/>
    </row>
    <row r="23" spans="1:15" ht="12.75">
      <c r="A23" s="124"/>
      <c r="B23" s="124"/>
      <c r="C23" s="124"/>
      <c r="D23" s="126" t="str">
        <f>'OP1 Rater'!X38</f>
        <v>Insured with Attained Age 40 - 49</v>
      </c>
      <c r="E23" s="124"/>
      <c r="F23" s="124"/>
      <c r="G23" s="124"/>
      <c r="H23" s="124"/>
      <c r="I23" s="124"/>
      <c r="J23" s="124"/>
      <c r="K23" s="124"/>
      <c r="L23" s="124"/>
      <c r="M23" s="124"/>
      <c r="N23" s="2"/>
      <c r="O23" s="2"/>
    </row>
    <row r="24" spans="1:15" ht="6" customHeight="1">
      <c r="A24" s="124"/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2"/>
      <c r="O24" s="2"/>
    </row>
    <row r="25" spans="1:15" ht="12.75">
      <c r="A25" s="124"/>
      <c r="B25" s="124"/>
      <c r="C25" s="124"/>
      <c r="D25" s="245" t="s">
        <v>5</v>
      </c>
      <c r="E25" s="246"/>
      <c r="F25" s="246"/>
      <c r="G25" s="246"/>
      <c r="H25" s="246"/>
      <c r="I25" s="246"/>
      <c r="J25" s="246"/>
      <c r="K25" s="246"/>
      <c r="L25" s="246"/>
      <c r="M25" s="247"/>
      <c r="N25" s="2"/>
      <c r="O25" s="2"/>
    </row>
    <row r="26" spans="1:15" ht="12.75">
      <c r="A26" s="124"/>
      <c r="B26" s="124"/>
      <c r="C26" s="124"/>
      <c r="D26" s="128">
        <f>'OP2 Rater'!AO41</f>
        <v>250</v>
      </c>
      <c r="E26" s="128">
        <f>'OP2 Rater'!AP41</f>
        <v>500</v>
      </c>
      <c r="F26" s="128">
        <f>'OP2 Rater'!AQ41</f>
        <v>750</v>
      </c>
      <c r="G26" s="128">
        <f>'OP2 Rater'!AR41</f>
        <v>1000</v>
      </c>
      <c r="H26" s="128">
        <f>'OP2 Rater'!AS41</f>
        <v>1250</v>
      </c>
      <c r="I26" s="128">
        <f>'OP2 Rater'!AT41</f>
        <v>1500</v>
      </c>
      <c r="J26" s="128">
        <f>'OP2 Rater'!AU41</f>
        <v>1750</v>
      </c>
      <c r="K26" s="128">
        <f>'OP2 Rater'!AV41</f>
        <v>2000</v>
      </c>
      <c r="L26" s="128">
        <f>'OP2 Rater'!AW41</f>
        <v>2250</v>
      </c>
      <c r="M26" s="128">
        <f>'OP2 Rater'!AX41</f>
        <v>2500</v>
      </c>
      <c r="N26" s="2"/>
      <c r="O26" s="2"/>
    </row>
    <row r="27" spans="1:15" ht="12.75">
      <c r="A27" s="129" t="str">
        <f>'OP1 Rater'!U42</f>
        <v>Insured Only</v>
      </c>
      <c r="B27" s="130"/>
      <c r="C27" s="124"/>
      <c r="D27" s="131">
        <f>'OP2 Rater'!AO42</f>
        <v>5.96</v>
      </c>
      <c r="E27" s="131">
        <f>'OP2 Rater'!AP42</f>
        <v>10.71</v>
      </c>
      <c r="F27" s="131">
        <f>'OP2 Rater'!AQ42</f>
        <v>12.85</v>
      </c>
      <c r="G27" s="131">
        <f>'OP2 Rater'!AR42</f>
        <v>14.87</v>
      </c>
      <c r="H27" s="131">
        <f>'OP2 Rater'!AS42</f>
        <v>16.35</v>
      </c>
      <c r="I27" s="131">
        <f>'OP2 Rater'!AT42</f>
        <v>17.84</v>
      </c>
      <c r="J27" s="131">
        <f>'OP2 Rater'!AU42</f>
        <v>19.11</v>
      </c>
      <c r="K27" s="131">
        <f>'OP2 Rater'!AV42</f>
        <v>20.39</v>
      </c>
      <c r="L27" s="131">
        <f>'OP2 Rater'!AW42</f>
        <v>21.41</v>
      </c>
      <c r="M27" s="131">
        <f>'OP2 Rater'!AX42</f>
        <v>22.42</v>
      </c>
      <c r="N27" s="2"/>
      <c r="O27" s="2"/>
    </row>
    <row r="28" spans="1:15" ht="12.75">
      <c r="A28" s="132" t="str">
        <f>'OP1 Rater'!U43</f>
        <v>Insured Plus Spouse</v>
      </c>
      <c r="B28" s="133"/>
      <c r="C28" s="124"/>
      <c r="D28" s="131">
        <f>'OP2 Rater'!AO43</f>
        <v>10.7</v>
      </c>
      <c r="E28" s="131">
        <f>'OP2 Rater'!AP43</f>
        <v>19.28</v>
      </c>
      <c r="F28" s="131">
        <f>'OP2 Rater'!AQ43</f>
        <v>23.11</v>
      </c>
      <c r="G28" s="131">
        <f>'OP2 Rater'!AR43</f>
        <v>26.76</v>
      </c>
      <c r="H28" s="131">
        <f>'OP2 Rater'!AS43</f>
        <v>29.44</v>
      </c>
      <c r="I28" s="131">
        <f>'OP2 Rater'!AT43</f>
        <v>32.11</v>
      </c>
      <c r="J28" s="131">
        <f>'OP2 Rater'!AU43</f>
        <v>34.4</v>
      </c>
      <c r="K28" s="131">
        <f>'OP2 Rater'!AV43</f>
        <v>36.7</v>
      </c>
      <c r="L28" s="131">
        <f>'OP2 Rater'!AW43</f>
        <v>38.53</v>
      </c>
      <c r="M28" s="131">
        <f>'OP2 Rater'!AX43</f>
        <v>40.36</v>
      </c>
      <c r="N28" s="2"/>
      <c r="O28" s="2"/>
    </row>
    <row r="29" spans="1:15" ht="12.75">
      <c r="A29" s="132" t="str">
        <f>'OP1 Rater'!U44</f>
        <v>Insured Plus Children</v>
      </c>
      <c r="B29" s="133"/>
      <c r="C29" s="124"/>
      <c r="D29" s="131">
        <f>'OP2 Rater'!AO44</f>
        <v>10.76</v>
      </c>
      <c r="E29" s="131">
        <f>'OP2 Rater'!AP44</f>
        <v>19.38</v>
      </c>
      <c r="F29" s="131">
        <f>'OP2 Rater'!AQ44</f>
        <v>23.26</v>
      </c>
      <c r="G29" s="131">
        <f>'OP2 Rater'!AR44</f>
        <v>26.92</v>
      </c>
      <c r="H29" s="131">
        <f>'OP2 Rater'!AS44</f>
        <v>29.61</v>
      </c>
      <c r="I29" s="131">
        <f>'OP2 Rater'!AT44</f>
        <v>32.3</v>
      </c>
      <c r="J29" s="131">
        <f>'OP2 Rater'!AU44</f>
        <v>34.61</v>
      </c>
      <c r="K29" s="131">
        <f>'OP2 Rater'!AV44</f>
        <v>36.92</v>
      </c>
      <c r="L29" s="131">
        <f>'OP2 Rater'!AW44</f>
        <v>38.76</v>
      </c>
      <c r="M29" s="131">
        <f>'OP2 Rater'!AX44</f>
        <v>40.62</v>
      </c>
      <c r="N29" s="2"/>
      <c r="O29" s="2"/>
    </row>
    <row r="30" spans="1:15" ht="12.75">
      <c r="A30" s="134" t="str">
        <f>'OP1 Rater'!U45</f>
        <v>Insured Plus Family</v>
      </c>
      <c r="B30" s="135"/>
      <c r="C30" s="124"/>
      <c r="D30" s="131">
        <f>'OP2 Rater'!AO45</f>
        <v>15.51</v>
      </c>
      <c r="E30" s="131">
        <f>'OP2 Rater'!AP45</f>
        <v>27.96</v>
      </c>
      <c r="F30" s="131">
        <f>'OP2 Rater'!AQ45</f>
        <v>33.51</v>
      </c>
      <c r="G30" s="131">
        <f>'OP2 Rater'!AR45</f>
        <v>38.78</v>
      </c>
      <c r="H30" s="131">
        <f>'OP2 Rater'!AS45</f>
        <v>42.67</v>
      </c>
      <c r="I30" s="131">
        <f>'OP2 Rater'!AT45</f>
        <v>46.55</v>
      </c>
      <c r="J30" s="131">
        <f>'OP2 Rater'!AU45</f>
        <v>49.87</v>
      </c>
      <c r="K30" s="131">
        <f>'OP2 Rater'!AV45</f>
        <v>53.19</v>
      </c>
      <c r="L30" s="131">
        <f>'OP2 Rater'!AW45</f>
        <v>55.85</v>
      </c>
      <c r="M30" s="131">
        <f>'OP2 Rater'!AX45</f>
        <v>58.5</v>
      </c>
      <c r="N30" s="2"/>
      <c r="O30" s="2"/>
    </row>
    <row r="31" spans="1:15" ht="12.75">
      <c r="A31" s="124"/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2"/>
      <c r="O31" s="2"/>
    </row>
    <row r="32" spans="1:15" ht="12.75">
      <c r="A32" s="124"/>
      <c r="B32" s="124"/>
      <c r="C32" s="124"/>
      <c r="D32" s="126" t="str">
        <f>'OP1 Rater'!X48</f>
        <v>Insured with Attained Age 50+</v>
      </c>
      <c r="E32" s="124"/>
      <c r="F32" s="124"/>
      <c r="G32" s="124"/>
      <c r="H32" s="124"/>
      <c r="I32" s="124"/>
      <c r="J32" s="124"/>
      <c r="K32" s="124"/>
      <c r="L32" s="124"/>
      <c r="M32" s="124"/>
      <c r="N32" s="2"/>
      <c r="O32" s="2"/>
    </row>
    <row r="33" spans="1:15" ht="6" customHeight="1">
      <c r="A33" s="124"/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2"/>
      <c r="O33" s="2"/>
    </row>
    <row r="34" spans="1:15" ht="12.75">
      <c r="A34" s="124"/>
      <c r="B34" s="124"/>
      <c r="C34" s="124"/>
      <c r="D34" s="245" t="s">
        <v>5</v>
      </c>
      <c r="E34" s="246"/>
      <c r="F34" s="246"/>
      <c r="G34" s="246"/>
      <c r="H34" s="246"/>
      <c r="I34" s="246"/>
      <c r="J34" s="246"/>
      <c r="K34" s="246"/>
      <c r="L34" s="246"/>
      <c r="M34" s="247"/>
      <c r="N34" s="2"/>
      <c r="O34" s="2"/>
    </row>
    <row r="35" spans="1:15" ht="12.75">
      <c r="A35" s="124"/>
      <c r="B35" s="124"/>
      <c r="C35" s="124"/>
      <c r="D35" s="128">
        <f>'OP2 Rater'!AO51</f>
        <v>250</v>
      </c>
      <c r="E35" s="128">
        <f>'OP2 Rater'!AP51</f>
        <v>500</v>
      </c>
      <c r="F35" s="128">
        <f>'OP2 Rater'!AQ51</f>
        <v>750</v>
      </c>
      <c r="G35" s="128">
        <f>'OP2 Rater'!AR51</f>
        <v>1000</v>
      </c>
      <c r="H35" s="128">
        <f>'OP2 Rater'!AS51</f>
        <v>1250</v>
      </c>
      <c r="I35" s="128">
        <f>'OP2 Rater'!AT51</f>
        <v>1500</v>
      </c>
      <c r="J35" s="128">
        <f>'OP2 Rater'!AU51</f>
        <v>1750</v>
      </c>
      <c r="K35" s="128">
        <f>'OP2 Rater'!AV51</f>
        <v>2000</v>
      </c>
      <c r="L35" s="128">
        <f>'OP2 Rater'!AW51</f>
        <v>2250</v>
      </c>
      <c r="M35" s="128">
        <f>'OP2 Rater'!AX51</f>
        <v>2500</v>
      </c>
      <c r="N35" s="2"/>
      <c r="O35" s="2"/>
    </row>
    <row r="36" spans="1:15" ht="12.75">
      <c r="A36" s="129" t="str">
        <f>'OP1 Rater'!U52</f>
        <v>Insured Only</v>
      </c>
      <c r="B36" s="130"/>
      <c r="C36" s="124"/>
      <c r="D36" s="131">
        <f>'OP2 Rater'!AO52</f>
        <v>12.24</v>
      </c>
      <c r="E36" s="131">
        <f>'OP2 Rater'!AP52</f>
        <v>22.03</v>
      </c>
      <c r="F36" s="131">
        <f>'OP2 Rater'!AQ52</f>
        <v>26.42</v>
      </c>
      <c r="G36" s="131">
        <f>'OP2 Rater'!AR52</f>
        <v>30.56</v>
      </c>
      <c r="H36" s="131">
        <f>'OP2 Rater'!AS52</f>
        <v>33.62</v>
      </c>
      <c r="I36" s="131">
        <f>'OP2 Rater'!AT52</f>
        <v>36.68</v>
      </c>
      <c r="J36" s="131">
        <f>'OP2 Rater'!AU52</f>
        <v>39.3</v>
      </c>
      <c r="K36" s="131">
        <f>'OP2 Rater'!AV52</f>
        <v>41.92</v>
      </c>
      <c r="L36" s="131">
        <f>'OP2 Rater'!AW52</f>
        <v>44.02</v>
      </c>
      <c r="M36" s="131">
        <f>'OP2 Rater'!AX52</f>
        <v>46.12</v>
      </c>
      <c r="N36" s="2"/>
      <c r="O36" s="2"/>
    </row>
    <row r="37" spans="1:15" ht="12.75">
      <c r="A37" s="132" t="str">
        <f>'OP1 Rater'!U53</f>
        <v>Insured Plus Spouse</v>
      </c>
      <c r="B37" s="133"/>
      <c r="C37" s="124"/>
      <c r="D37" s="131">
        <f>'OP2 Rater'!AO53</f>
        <v>22.05</v>
      </c>
      <c r="E37" s="131">
        <f>'OP2 Rater'!AP53</f>
        <v>39.62</v>
      </c>
      <c r="F37" s="131">
        <f>'OP2 Rater'!AQ53</f>
        <v>47.54</v>
      </c>
      <c r="G37" s="131">
        <f>'OP2 Rater'!AR53</f>
        <v>55</v>
      </c>
      <c r="H37" s="131">
        <f>'OP2 Rater'!AS53</f>
        <v>60.5</v>
      </c>
      <c r="I37" s="131">
        <f>'OP2 Rater'!AT53</f>
        <v>66</v>
      </c>
      <c r="J37" s="131">
        <f>'OP2 Rater'!AU53</f>
        <v>70.72</v>
      </c>
      <c r="K37" s="131">
        <f>'OP2 Rater'!AV53</f>
        <v>75.43</v>
      </c>
      <c r="L37" s="131">
        <f>'OP2 Rater'!AW53</f>
        <v>79.2</v>
      </c>
      <c r="M37" s="131">
        <f>'OP2 Rater'!AX53</f>
        <v>82.98</v>
      </c>
      <c r="N37" s="2"/>
      <c r="O37" s="2"/>
    </row>
    <row r="38" spans="1:15" ht="12.75">
      <c r="A38" s="132" t="str">
        <f>'OP1 Rater'!U54</f>
        <v>Insured Plus Children</v>
      </c>
      <c r="B38" s="133"/>
      <c r="C38" s="124"/>
      <c r="D38" s="131">
        <f>'OP2 Rater'!AO54</f>
        <v>19.59</v>
      </c>
      <c r="E38" s="131">
        <f>'OP2 Rater'!AP54</f>
        <v>35.23</v>
      </c>
      <c r="F38" s="131">
        <f>'OP2 Rater'!AQ54</f>
        <v>42.31</v>
      </c>
      <c r="G38" s="131">
        <f>'OP2 Rater'!AR54</f>
        <v>48.95</v>
      </c>
      <c r="H38" s="131">
        <f>'OP2 Rater'!AS54</f>
        <v>53.84</v>
      </c>
      <c r="I38" s="131">
        <f>'OP2 Rater'!AT54</f>
        <v>58.74</v>
      </c>
      <c r="J38" s="131">
        <f>'OP2 Rater'!AU54</f>
        <v>62.93</v>
      </c>
      <c r="K38" s="131">
        <f>'OP2 Rater'!AV54</f>
        <v>67.12</v>
      </c>
      <c r="L38" s="131">
        <f>'OP2 Rater'!AW54</f>
        <v>70.48</v>
      </c>
      <c r="M38" s="131">
        <f>'OP2 Rater'!AX54</f>
        <v>73.83</v>
      </c>
      <c r="N38" s="2"/>
      <c r="O38" s="2"/>
    </row>
    <row r="39" spans="1:15" ht="12.75">
      <c r="A39" s="134" t="str">
        <f>'OP1 Rater'!U55</f>
        <v>Insured Plus Family</v>
      </c>
      <c r="B39" s="135"/>
      <c r="C39" s="124"/>
      <c r="D39" s="131">
        <f>'OP2 Rater'!AO55</f>
        <v>29.11</v>
      </c>
      <c r="E39" s="131">
        <f>'OP2 Rater'!AP55</f>
        <v>52.85</v>
      </c>
      <c r="F39" s="131">
        <f>'OP2 Rater'!AQ55</f>
        <v>63.38</v>
      </c>
      <c r="G39" s="131">
        <f>'OP2 Rater'!AR55</f>
        <v>73.34</v>
      </c>
      <c r="H39" s="131">
        <f>'OP2 Rater'!AS55</f>
        <v>80.67</v>
      </c>
      <c r="I39" s="131">
        <f>'OP2 Rater'!AT55</f>
        <v>88</v>
      </c>
      <c r="J39" s="131">
        <f>'OP2 Rater'!AU55</f>
        <v>94.29</v>
      </c>
      <c r="K39" s="131">
        <f>'OP2 Rater'!AV55</f>
        <v>100.58</v>
      </c>
      <c r="L39" s="131">
        <f>'OP2 Rater'!AW55</f>
        <v>105.62</v>
      </c>
      <c r="M39" s="131">
        <f>'OP2 Rater'!AX55</f>
        <v>110.65</v>
      </c>
      <c r="N39" s="2"/>
      <c r="O39" s="2"/>
    </row>
    <row r="40" spans="1:15" ht="12.75">
      <c r="A40" s="124"/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2"/>
      <c r="O40" s="2"/>
    </row>
    <row r="41" spans="1:15" ht="12.75">
      <c r="A41" s="124"/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2"/>
      <c r="O41" s="2"/>
    </row>
    <row r="42" spans="1:15" ht="12.75">
      <c r="A42" s="125" t="str">
        <f>'OP2 Rater'!BX24</f>
        <v>COLORADO &amp; INDIANA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2"/>
      <c r="O42" s="2"/>
    </row>
    <row r="43" spans="1:15" ht="6" customHeight="1">
      <c r="A43" s="124"/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2"/>
      <c r="O43" s="2"/>
    </row>
    <row r="44" spans="1:15" ht="12.75" customHeight="1">
      <c r="A44" s="124"/>
      <c r="B44" s="124"/>
      <c r="C44" s="124"/>
      <c r="D44" s="126" t="str">
        <f>'OP1 Rater'!CA28</f>
        <v>Insured with Attained Age Under 40</v>
      </c>
      <c r="E44" s="124"/>
      <c r="F44" s="124"/>
      <c r="G44" s="124"/>
      <c r="H44" s="124"/>
      <c r="I44" s="124"/>
      <c r="J44" s="124"/>
      <c r="K44" s="124"/>
      <c r="L44" s="124"/>
      <c r="M44" s="124"/>
      <c r="N44" s="2"/>
      <c r="O44" s="2"/>
    </row>
    <row r="45" spans="1:15" ht="6" customHeight="1">
      <c r="A45" s="124"/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2"/>
      <c r="O45" s="2"/>
    </row>
    <row r="46" spans="1:15" ht="12.75" customHeight="1">
      <c r="A46" s="124"/>
      <c r="B46" s="124"/>
      <c r="C46" s="124"/>
      <c r="D46" s="245" t="s">
        <v>5</v>
      </c>
      <c r="E46" s="248"/>
      <c r="F46" s="248"/>
      <c r="G46" s="248"/>
      <c r="H46" s="248"/>
      <c r="I46" s="248"/>
      <c r="J46" s="248"/>
      <c r="K46" s="248"/>
      <c r="L46" s="248"/>
      <c r="M46" s="249"/>
      <c r="N46" s="2"/>
      <c r="O46" s="2"/>
    </row>
    <row r="47" spans="1:15" ht="12.75">
      <c r="A47" s="40"/>
      <c r="B47" s="124"/>
      <c r="C47" s="124"/>
      <c r="D47" s="128">
        <f>'OP2 Rater'!CR31</f>
        <v>250</v>
      </c>
      <c r="E47" s="128">
        <f>'OP2 Rater'!CS31</f>
        <v>500</v>
      </c>
      <c r="F47" s="128">
        <f>'OP2 Rater'!CT31</f>
        <v>750</v>
      </c>
      <c r="G47" s="128">
        <f>'OP2 Rater'!CU31</f>
        <v>1000</v>
      </c>
      <c r="H47" s="128">
        <f>'OP2 Rater'!CV31</f>
        <v>1250</v>
      </c>
      <c r="I47" s="128">
        <f>'OP2 Rater'!CW31</f>
        <v>1500</v>
      </c>
      <c r="J47" s="128">
        <f>'OP2 Rater'!CX31</f>
        <v>1750</v>
      </c>
      <c r="K47" s="128">
        <f>'OP2 Rater'!CY31</f>
        <v>2000</v>
      </c>
      <c r="L47" s="128">
        <f>'OP2 Rater'!CZ31</f>
        <v>2250</v>
      </c>
      <c r="M47" s="128">
        <f>'OP2 Rater'!DA31</f>
        <v>2500</v>
      </c>
      <c r="N47" s="2"/>
      <c r="O47" s="2"/>
    </row>
    <row r="48" spans="1:15" ht="12.75">
      <c r="A48" s="129" t="str">
        <f>'OP1 Rater'!BX32</f>
        <v>Insured Only</v>
      </c>
      <c r="B48" s="130"/>
      <c r="C48" s="124"/>
      <c r="D48" s="131">
        <f>'OP2 Rater'!CR32</f>
        <v>5.1</v>
      </c>
      <c r="E48" s="131">
        <f>'OP2 Rater'!CS32</f>
        <v>9.17</v>
      </c>
      <c r="F48" s="131">
        <f>'OP2 Rater'!CT32</f>
        <v>11</v>
      </c>
      <c r="G48" s="131">
        <f>'OP2 Rater'!CU32</f>
        <v>12.72</v>
      </c>
      <c r="H48" s="131">
        <f>'OP2 Rater'!CV32</f>
        <v>13.99</v>
      </c>
      <c r="I48" s="131">
        <f>'OP2 Rater'!CW32</f>
        <v>15.26</v>
      </c>
      <c r="J48" s="131">
        <f>'OP2 Rater'!CX32</f>
        <v>16.36</v>
      </c>
      <c r="K48" s="131">
        <f>'OP2 Rater'!CY32</f>
        <v>17.45</v>
      </c>
      <c r="L48" s="131">
        <f>'OP2 Rater'!CZ32</f>
        <v>18.32</v>
      </c>
      <c r="M48" s="131">
        <f>'OP2 Rater'!DA32</f>
        <v>19.19</v>
      </c>
      <c r="N48" s="2"/>
      <c r="O48" s="2"/>
    </row>
    <row r="49" spans="1:15" ht="12.75">
      <c r="A49" s="132" t="str">
        <f>'OP1 Rater'!BX33</f>
        <v>Insured Plus Spouse</v>
      </c>
      <c r="B49" s="133"/>
      <c r="C49" s="124"/>
      <c r="D49" s="131">
        <f>'OP2 Rater'!CR33</f>
        <v>9.16</v>
      </c>
      <c r="E49" s="131">
        <f>'OP2 Rater'!CS33</f>
        <v>16.49</v>
      </c>
      <c r="F49" s="131">
        <f>'OP2 Rater'!CT33</f>
        <v>19.78</v>
      </c>
      <c r="G49" s="131">
        <f>'OP2 Rater'!CU33</f>
        <v>22.92</v>
      </c>
      <c r="H49" s="131">
        <f>'OP2 Rater'!CV33</f>
        <v>25.21</v>
      </c>
      <c r="I49" s="131">
        <f>'OP2 Rater'!CW33</f>
        <v>27.5</v>
      </c>
      <c r="J49" s="131">
        <f>'OP2 Rater'!CX33</f>
        <v>29.46</v>
      </c>
      <c r="K49" s="131">
        <f>'OP2 Rater'!CY33</f>
        <v>31.42</v>
      </c>
      <c r="L49" s="131">
        <f>'OP2 Rater'!CZ33</f>
        <v>32.99</v>
      </c>
      <c r="M49" s="131">
        <f>'OP2 Rater'!DA33</f>
        <v>34.56</v>
      </c>
      <c r="N49" s="2"/>
      <c r="O49" s="2"/>
    </row>
    <row r="50" spans="1:15" ht="12.75">
      <c r="A50" s="132" t="str">
        <f>'OP1 Rater'!BX34</f>
        <v>Insured Plus Children</v>
      </c>
      <c r="B50" s="133"/>
      <c r="C50" s="124"/>
      <c r="D50" s="131">
        <f>'OP2 Rater'!CR34</f>
        <v>11.01</v>
      </c>
      <c r="E50" s="131">
        <f>'OP2 Rater'!CS34</f>
        <v>19.84</v>
      </c>
      <c r="F50" s="131">
        <f>'OP2 Rater'!CT34</f>
        <v>23.81</v>
      </c>
      <c r="G50" s="131">
        <f>'OP2 Rater'!CU34</f>
        <v>27.54</v>
      </c>
      <c r="H50" s="131">
        <f>'OP2 Rater'!CV34</f>
        <v>30.29</v>
      </c>
      <c r="I50" s="131">
        <f>'OP2 Rater'!CW34</f>
        <v>33.05</v>
      </c>
      <c r="J50" s="131">
        <f>'OP2 Rater'!CX34</f>
        <v>35.41</v>
      </c>
      <c r="K50" s="131">
        <f>'OP2 Rater'!CY34</f>
        <v>37.77</v>
      </c>
      <c r="L50" s="131">
        <f>'OP2 Rater'!CZ34</f>
        <v>39.66</v>
      </c>
      <c r="M50" s="131">
        <f>'OP2 Rater'!DA34</f>
        <v>41.55</v>
      </c>
      <c r="N50" s="2"/>
      <c r="O50" s="2"/>
    </row>
    <row r="51" spans="1:15" ht="12.75">
      <c r="A51" s="134" t="str">
        <f>'OP1 Rater'!BX35</f>
        <v>Insured Plus Family</v>
      </c>
      <c r="B51" s="135"/>
      <c r="C51" s="124"/>
      <c r="D51" s="131">
        <f>'OP2 Rater'!CR35</f>
        <v>15.07</v>
      </c>
      <c r="E51" s="131">
        <f>'OP2 Rater'!CS35</f>
        <v>27.16</v>
      </c>
      <c r="F51" s="131">
        <f>'OP2 Rater'!CT35</f>
        <v>32.55</v>
      </c>
      <c r="G51" s="131">
        <f>'OP2 Rater'!CU35</f>
        <v>37.69</v>
      </c>
      <c r="H51" s="131">
        <f>'OP2 Rater'!CV35</f>
        <v>41.46</v>
      </c>
      <c r="I51" s="131">
        <f>'OP2 Rater'!CW35</f>
        <v>45.24</v>
      </c>
      <c r="J51" s="131">
        <f>'OP2 Rater'!CX35</f>
        <v>48.47</v>
      </c>
      <c r="K51" s="131">
        <f>'OP2 Rater'!CY35</f>
        <v>51.7</v>
      </c>
      <c r="L51" s="131">
        <f>'OP2 Rater'!CZ35</f>
        <v>54.28</v>
      </c>
      <c r="M51" s="131">
        <f>'OP2 Rater'!DA35</f>
        <v>56.86</v>
      </c>
      <c r="N51" s="2"/>
      <c r="O51" s="2"/>
    </row>
    <row r="52" spans="1:15" ht="12.75">
      <c r="A52" s="124"/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2"/>
      <c r="O52" s="2"/>
    </row>
    <row r="53" spans="1:15" ht="12.75">
      <c r="A53" s="124"/>
      <c r="B53" s="124"/>
      <c r="C53" s="124"/>
      <c r="D53" s="126" t="str">
        <f>'OP1 Rater'!CA38</f>
        <v>Insured with Attained Age 40 - 49</v>
      </c>
      <c r="E53" s="124"/>
      <c r="F53" s="124"/>
      <c r="G53" s="124"/>
      <c r="H53" s="124"/>
      <c r="I53" s="124"/>
      <c r="J53" s="124"/>
      <c r="K53" s="124"/>
      <c r="L53" s="124"/>
      <c r="M53" s="124"/>
      <c r="N53" s="2"/>
      <c r="O53" s="2"/>
    </row>
    <row r="54" spans="1:15" ht="6" customHeight="1">
      <c r="A54" s="124"/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2"/>
      <c r="O54" s="2"/>
    </row>
    <row r="55" spans="1:15" ht="12.75">
      <c r="A55" s="124"/>
      <c r="B55" s="124"/>
      <c r="C55" s="124"/>
      <c r="D55" s="245" t="s">
        <v>5</v>
      </c>
      <c r="E55" s="246"/>
      <c r="F55" s="246"/>
      <c r="G55" s="246"/>
      <c r="H55" s="246"/>
      <c r="I55" s="246"/>
      <c r="J55" s="246"/>
      <c r="K55" s="246"/>
      <c r="L55" s="246"/>
      <c r="M55" s="247"/>
      <c r="N55" s="2"/>
      <c r="O55" s="2"/>
    </row>
    <row r="56" spans="1:15" ht="12.75">
      <c r="A56" s="40"/>
      <c r="B56" s="124"/>
      <c r="C56" s="124"/>
      <c r="D56" s="128">
        <f>'OP2 Rater'!CR41</f>
        <v>250</v>
      </c>
      <c r="E56" s="128">
        <f>'OP2 Rater'!CS41</f>
        <v>500</v>
      </c>
      <c r="F56" s="128">
        <f>'OP2 Rater'!CT41</f>
        <v>750</v>
      </c>
      <c r="G56" s="128">
        <f>'OP2 Rater'!CU41</f>
        <v>1000</v>
      </c>
      <c r="H56" s="128">
        <f>'OP2 Rater'!CV41</f>
        <v>1250</v>
      </c>
      <c r="I56" s="128">
        <f>'OP2 Rater'!CW41</f>
        <v>1500</v>
      </c>
      <c r="J56" s="128">
        <f>'OP2 Rater'!CX41</f>
        <v>1750</v>
      </c>
      <c r="K56" s="128">
        <f>'OP2 Rater'!CY41</f>
        <v>2000</v>
      </c>
      <c r="L56" s="128">
        <f>'OP2 Rater'!CZ41</f>
        <v>2250</v>
      </c>
      <c r="M56" s="128">
        <f>'OP2 Rater'!DA41</f>
        <v>2500</v>
      </c>
      <c r="N56" s="2"/>
      <c r="O56" s="2"/>
    </row>
    <row r="57" spans="1:15" ht="12.75">
      <c r="A57" s="129" t="str">
        <f>'OP1 Rater'!BX42</f>
        <v>Insured Only</v>
      </c>
      <c r="B57" s="130"/>
      <c r="C57" s="124"/>
      <c r="D57" s="131">
        <f>'OP2 Rater'!CR42</f>
        <v>6.45</v>
      </c>
      <c r="E57" s="131">
        <f>'OP2 Rater'!CS42</f>
        <v>11.61</v>
      </c>
      <c r="F57" s="131">
        <f>'OP2 Rater'!CT42</f>
        <v>13.92</v>
      </c>
      <c r="G57" s="131">
        <f>'OP2 Rater'!CU42</f>
        <v>16.1</v>
      </c>
      <c r="H57" s="131">
        <f>'OP2 Rater'!CV42</f>
        <v>17.72</v>
      </c>
      <c r="I57" s="131">
        <f>'OP2 Rater'!CW42</f>
        <v>19.33</v>
      </c>
      <c r="J57" s="131">
        <f>'OP2 Rater'!CX42</f>
        <v>20.71</v>
      </c>
      <c r="K57" s="131">
        <f>'OP2 Rater'!CY42</f>
        <v>22.09</v>
      </c>
      <c r="L57" s="131">
        <f>'OP2 Rater'!CZ42</f>
        <v>23.19</v>
      </c>
      <c r="M57" s="131">
        <f>'OP2 Rater'!DA42</f>
        <v>24.29</v>
      </c>
      <c r="N57" s="2"/>
      <c r="O57" s="2"/>
    </row>
    <row r="58" spans="1:15" ht="12.75">
      <c r="A58" s="132" t="str">
        <f>'OP1 Rater'!BX43</f>
        <v>Insured Plus Spouse</v>
      </c>
      <c r="B58" s="133"/>
      <c r="C58" s="124"/>
      <c r="D58" s="131">
        <f>'OP2 Rater'!CR43</f>
        <v>11.59</v>
      </c>
      <c r="E58" s="131">
        <f>'OP2 Rater'!CS43</f>
        <v>20.88</v>
      </c>
      <c r="F58" s="131">
        <f>'OP2 Rater'!CT43</f>
        <v>25.04</v>
      </c>
      <c r="G58" s="131">
        <f>'OP2 Rater'!CU43</f>
        <v>28.99</v>
      </c>
      <c r="H58" s="131">
        <f>'OP2 Rater'!CV43</f>
        <v>31.89</v>
      </c>
      <c r="I58" s="131">
        <f>'OP2 Rater'!CW43</f>
        <v>34.79</v>
      </c>
      <c r="J58" s="131">
        <f>'OP2 Rater'!CX43</f>
        <v>37.27</v>
      </c>
      <c r="K58" s="131">
        <f>'OP2 Rater'!CY43</f>
        <v>39.75</v>
      </c>
      <c r="L58" s="131">
        <f>'OP2 Rater'!CZ43</f>
        <v>41.74</v>
      </c>
      <c r="M58" s="131">
        <f>'OP2 Rater'!DA43</f>
        <v>43.72</v>
      </c>
      <c r="N58" s="2"/>
      <c r="O58" s="2"/>
    </row>
    <row r="59" spans="1:15" ht="12.75">
      <c r="A59" s="132" t="str">
        <f>'OP1 Rater'!BX44</f>
        <v>Insured Plus Children</v>
      </c>
      <c r="B59" s="133"/>
      <c r="C59" s="124"/>
      <c r="D59" s="131">
        <f>'OP2 Rater'!CR44</f>
        <v>11.65</v>
      </c>
      <c r="E59" s="131">
        <f>'OP2 Rater'!CS44</f>
        <v>20.99</v>
      </c>
      <c r="F59" s="131">
        <f>'OP2 Rater'!CT44</f>
        <v>25.2</v>
      </c>
      <c r="G59" s="131">
        <f>'OP2 Rater'!CU44</f>
        <v>29.16</v>
      </c>
      <c r="H59" s="131">
        <f>'OP2 Rater'!CV44</f>
        <v>32.07</v>
      </c>
      <c r="I59" s="131">
        <f>'OP2 Rater'!CW44</f>
        <v>34.99</v>
      </c>
      <c r="J59" s="131">
        <f>'OP2 Rater'!CX44</f>
        <v>37.49</v>
      </c>
      <c r="K59" s="131">
        <f>'OP2 Rater'!CY44</f>
        <v>39.99</v>
      </c>
      <c r="L59" s="131">
        <f>'OP2 Rater'!CZ44</f>
        <v>41.99</v>
      </c>
      <c r="M59" s="131">
        <f>'OP2 Rater'!DA44</f>
        <v>44</v>
      </c>
      <c r="N59" s="2"/>
      <c r="O59" s="2"/>
    </row>
    <row r="60" spans="1:15" ht="12.75">
      <c r="A60" s="134" t="str">
        <f>'OP1 Rater'!BX45</f>
        <v>Insured Plus Family</v>
      </c>
      <c r="B60" s="135"/>
      <c r="C60" s="124"/>
      <c r="D60" s="131">
        <f>'OP2 Rater'!CR45</f>
        <v>16.8</v>
      </c>
      <c r="E60" s="131">
        <f>'OP2 Rater'!CS45</f>
        <v>30.29</v>
      </c>
      <c r="F60" s="131">
        <f>'OP2 Rater'!CT45</f>
        <v>36.3</v>
      </c>
      <c r="G60" s="131">
        <f>'OP2 Rater'!CU45</f>
        <v>42.02</v>
      </c>
      <c r="H60" s="131">
        <f>'OP2 Rater'!CV45</f>
        <v>46.22</v>
      </c>
      <c r="I60" s="131">
        <f>'OP2 Rater'!CW45</f>
        <v>50.42</v>
      </c>
      <c r="J60" s="131">
        <f>'OP2 Rater'!CX45</f>
        <v>54.02</v>
      </c>
      <c r="K60" s="131">
        <f>'OP2 Rater'!CY45</f>
        <v>57.62</v>
      </c>
      <c r="L60" s="131">
        <f>'OP2 Rater'!CZ45</f>
        <v>60.5</v>
      </c>
      <c r="M60" s="131">
        <f>'OP2 Rater'!DA45</f>
        <v>63.37</v>
      </c>
      <c r="N60" s="2"/>
      <c r="O60" s="2"/>
    </row>
    <row r="61" spans="1:15" ht="12.75">
      <c r="A61" s="124"/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2"/>
      <c r="O61" s="2"/>
    </row>
    <row r="62" spans="1:15" ht="12.75">
      <c r="A62" s="124"/>
      <c r="B62" s="124"/>
      <c r="C62" s="124"/>
      <c r="D62" s="126" t="str">
        <f>'OP1 Rater'!CA48</f>
        <v>Insured with Attained Age 50+</v>
      </c>
      <c r="E62" s="124"/>
      <c r="F62" s="124"/>
      <c r="G62" s="124"/>
      <c r="H62" s="124"/>
      <c r="I62" s="124"/>
      <c r="J62" s="124"/>
      <c r="K62" s="124"/>
      <c r="L62" s="124"/>
      <c r="M62" s="124"/>
      <c r="N62" s="2"/>
      <c r="O62" s="2"/>
    </row>
    <row r="63" spans="1:15" ht="6" customHeight="1">
      <c r="A63" s="124"/>
      <c r="B63" s="124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2"/>
      <c r="O63" s="2"/>
    </row>
    <row r="64" spans="1:15" ht="12.75">
      <c r="A64" s="124"/>
      <c r="B64" s="124"/>
      <c r="C64" s="124"/>
      <c r="D64" s="245" t="s">
        <v>5</v>
      </c>
      <c r="E64" s="246"/>
      <c r="F64" s="246"/>
      <c r="G64" s="246"/>
      <c r="H64" s="246"/>
      <c r="I64" s="246"/>
      <c r="J64" s="246"/>
      <c r="K64" s="246"/>
      <c r="L64" s="246"/>
      <c r="M64" s="247"/>
      <c r="N64" s="2"/>
      <c r="O64" s="2"/>
    </row>
    <row r="65" spans="1:15" ht="12.75">
      <c r="A65" s="40"/>
      <c r="B65" s="124"/>
      <c r="C65" s="124"/>
      <c r="D65" s="128">
        <f>'OP2 Rater'!CR51</f>
        <v>250</v>
      </c>
      <c r="E65" s="128">
        <f>'OP2 Rater'!CS51</f>
        <v>500</v>
      </c>
      <c r="F65" s="128">
        <f>'OP2 Rater'!CT51</f>
        <v>750</v>
      </c>
      <c r="G65" s="128">
        <f>'OP2 Rater'!CU51</f>
        <v>1000</v>
      </c>
      <c r="H65" s="128">
        <f>'OP2 Rater'!CV51</f>
        <v>1250</v>
      </c>
      <c r="I65" s="128">
        <f>'OP2 Rater'!CW51</f>
        <v>1500</v>
      </c>
      <c r="J65" s="128">
        <f>'OP2 Rater'!CX51</f>
        <v>1750</v>
      </c>
      <c r="K65" s="128">
        <f>'OP2 Rater'!CY51</f>
        <v>2000</v>
      </c>
      <c r="L65" s="128">
        <f>'OP2 Rater'!CZ51</f>
        <v>2250</v>
      </c>
      <c r="M65" s="128">
        <f>'OP2 Rater'!DA51</f>
        <v>2500</v>
      </c>
      <c r="N65" s="2"/>
      <c r="O65" s="2"/>
    </row>
    <row r="66" spans="1:15" ht="12.75">
      <c r="A66" s="129" t="str">
        <f>'OP1 Rater'!BX52</f>
        <v>Insured Only</v>
      </c>
      <c r="B66" s="130"/>
      <c r="C66" s="124"/>
      <c r="D66" s="131">
        <f>'OP2 Rater'!CR52</f>
        <v>13.26</v>
      </c>
      <c r="E66" s="131">
        <f>'OP2 Rater'!CS52</f>
        <v>23.86</v>
      </c>
      <c r="F66" s="131">
        <f>'OP2 Rater'!CT52</f>
        <v>28.62</v>
      </c>
      <c r="G66" s="131">
        <f>'OP2 Rater'!CU52</f>
        <v>33.11</v>
      </c>
      <c r="H66" s="131">
        <f>'OP2 Rater'!CV52</f>
        <v>36.42</v>
      </c>
      <c r="I66" s="131">
        <f>'OP2 Rater'!CW52</f>
        <v>39.73</v>
      </c>
      <c r="J66" s="131">
        <f>'OP2 Rater'!CX52</f>
        <v>42.58</v>
      </c>
      <c r="K66" s="131">
        <f>'OP2 Rater'!CY52</f>
        <v>45.42</v>
      </c>
      <c r="L66" s="131">
        <f>'OP2 Rater'!CZ52</f>
        <v>47.69</v>
      </c>
      <c r="M66" s="131">
        <f>'OP2 Rater'!DA52</f>
        <v>49.96</v>
      </c>
      <c r="N66" s="2"/>
      <c r="O66" s="2"/>
    </row>
    <row r="67" spans="1:15" ht="12.75">
      <c r="A67" s="132" t="str">
        <f>'OP1 Rater'!BX53</f>
        <v>Insured Plus Spouse</v>
      </c>
      <c r="B67" s="133"/>
      <c r="C67" s="124"/>
      <c r="D67" s="131">
        <f>'OP2 Rater'!CR53</f>
        <v>23.89</v>
      </c>
      <c r="E67" s="131">
        <f>'OP2 Rater'!CS53</f>
        <v>42.92</v>
      </c>
      <c r="F67" s="131">
        <f>'OP2 Rater'!CT53</f>
        <v>51.5</v>
      </c>
      <c r="G67" s="131">
        <f>'OP2 Rater'!CU53</f>
        <v>59.59</v>
      </c>
      <c r="H67" s="131">
        <f>'OP2 Rater'!CV53</f>
        <v>65.54</v>
      </c>
      <c r="I67" s="131">
        <f>'OP2 Rater'!CW53</f>
        <v>71.5</v>
      </c>
      <c r="J67" s="131">
        <f>'OP2 Rater'!CX53</f>
        <v>76.61</v>
      </c>
      <c r="K67" s="131">
        <f>'OP2 Rater'!CY53</f>
        <v>81.72</v>
      </c>
      <c r="L67" s="131">
        <f>'OP2 Rater'!CZ53</f>
        <v>85.8</v>
      </c>
      <c r="M67" s="131">
        <f>'OP2 Rater'!DA53</f>
        <v>89.89</v>
      </c>
      <c r="N67" s="2"/>
      <c r="O67" s="2"/>
    </row>
    <row r="68" spans="1:15" ht="12.75">
      <c r="A68" s="132" t="str">
        <f>'OP1 Rater'!BX54</f>
        <v>Insured Plus Children</v>
      </c>
      <c r="B68" s="133"/>
      <c r="C68" s="124"/>
      <c r="D68" s="131">
        <f>'OP2 Rater'!CR54</f>
        <v>21.22</v>
      </c>
      <c r="E68" s="131">
        <f>'OP2 Rater'!CS54</f>
        <v>38.17</v>
      </c>
      <c r="F68" s="131">
        <f>'OP2 Rater'!CT54</f>
        <v>45.83</v>
      </c>
      <c r="G68" s="131">
        <f>'OP2 Rater'!CU54</f>
        <v>53.03</v>
      </c>
      <c r="H68" s="131">
        <f>'OP2 Rater'!CV54</f>
        <v>58.33</v>
      </c>
      <c r="I68" s="131">
        <f>'OP2 Rater'!CW54</f>
        <v>63.63</v>
      </c>
      <c r="J68" s="131">
        <f>'OP2 Rater'!CX54</f>
        <v>68.18</v>
      </c>
      <c r="K68" s="131">
        <f>'OP2 Rater'!CY54</f>
        <v>72.72</v>
      </c>
      <c r="L68" s="131">
        <f>'OP2 Rater'!CZ54</f>
        <v>76.35</v>
      </c>
      <c r="M68" s="131">
        <f>'OP2 Rater'!DA54</f>
        <v>79.98</v>
      </c>
      <c r="N68" s="2"/>
      <c r="O68" s="2"/>
    </row>
    <row r="69" spans="1:15" ht="12.75">
      <c r="A69" s="134" t="str">
        <f>'OP1 Rater'!BX55</f>
        <v>Insured Plus Family</v>
      </c>
      <c r="B69" s="135"/>
      <c r="C69" s="124"/>
      <c r="D69" s="131">
        <f>'OP2 Rater'!CR55</f>
        <v>31.53</v>
      </c>
      <c r="E69" s="131">
        <f>'OP2 Rater'!CS55</f>
        <v>57.25</v>
      </c>
      <c r="F69" s="131">
        <f>'OP2 Rater'!CT55</f>
        <v>68.67</v>
      </c>
      <c r="G69" s="131">
        <f>'OP2 Rater'!CU55</f>
        <v>79.45</v>
      </c>
      <c r="H69" s="131">
        <f>'OP2 Rater'!CV55</f>
        <v>87.39</v>
      </c>
      <c r="I69" s="131">
        <f>'OP2 Rater'!CW55</f>
        <v>95.33</v>
      </c>
      <c r="J69" s="131">
        <f>'OP2 Rater'!CX55</f>
        <v>102.15</v>
      </c>
      <c r="K69" s="131">
        <f>'OP2 Rater'!CY55</f>
        <v>108.97</v>
      </c>
      <c r="L69" s="131">
        <f>'OP2 Rater'!CZ55</f>
        <v>114.42</v>
      </c>
      <c r="M69" s="131">
        <f>'OP2 Rater'!DA55</f>
        <v>119.87</v>
      </c>
      <c r="N69" s="2"/>
      <c r="O69" s="2"/>
    </row>
    <row r="70" spans="1:15" ht="12.75">
      <c r="A70" s="124"/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2"/>
      <c r="O70" s="2"/>
    </row>
    <row r="71" spans="1:15" ht="12.75">
      <c r="A71" s="124"/>
      <c r="B71" s="124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2"/>
      <c r="O71" s="2"/>
    </row>
    <row r="72" spans="1:15" ht="12.75">
      <c r="A72" s="125" t="str">
        <f>'OP1 Rater'!EC24</f>
        <v>TEXAS</v>
      </c>
      <c r="B72" s="124"/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2"/>
      <c r="O72" s="2"/>
    </row>
    <row r="73" spans="1:15" ht="6" customHeight="1">
      <c r="A73" s="124"/>
      <c r="B73" s="124"/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2"/>
      <c r="O73" s="2"/>
    </row>
    <row r="74" spans="1:15" ht="12.75">
      <c r="A74" s="124"/>
      <c r="B74" s="124"/>
      <c r="C74" s="124"/>
      <c r="D74" s="126" t="str">
        <f>'OP1 Rater'!EF28</f>
        <v>Insured with Attained Age Under 40</v>
      </c>
      <c r="E74" s="124"/>
      <c r="F74" s="124"/>
      <c r="G74" s="124"/>
      <c r="H74" s="124"/>
      <c r="I74" s="124"/>
      <c r="J74" s="124"/>
      <c r="K74" s="124"/>
      <c r="L74" s="124"/>
      <c r="M74" s="124"/>
      <c r="N74" s="2"/>
      <c r="O74" s="2"/>
    </row>
    <row r="75" spans="1:15" ht="12.75">
      <c r="A75" s="124"/>
      <c r="B75" s="124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2"/>
      <c r="O75" s="2"/>
    </row>
    <row r="76" spans="1:15" ht="12.75">
      <c r="A76" s="124"/>
      <c r="B76" s="124"/>
      <c r="C76" s="124"/>
      <c r="D76" s="245" t="s">
        <v>5</v>
      </c>
      <c r="E76" s="246"/>
      <c r="F76" s="246"/>
      <c r="G76" s="246"/>
      <c r="H76" s="246"/>
      <c r="I76" s="246"/>
      <c r="J76" s="246"/>
      <c r="K76" s="246"/>
      <c r="L76" s="246"/>
      <c r="M76" s="247"/>
      <c r="N76" s="2"/>
      <c r="O76" s="2"/>
    </row>
    <row r="77" spans="1:15" ht="12.75">
      <c r="A77" s="40"/>
      <c r="B77" s="124"/>
      <c r="C77" s="124"/>
      <c r="D77" s="128">
        <f>'OP2 Rater'!EV31</f>
        <v>250</v>
      </c>
      <c r="E77" s="128">
        <f>'OP2 Rater'!EW31</f>
        <v>500</v>
      </c>
      <c r="F77" s="128">
        <f>'OP2 Rater'!EX31</f>
        <v>750</v>
      </c>
      <c r="G77" s="128">
        <f>'OP2 Rater'!EY31</f>
        <v>1000</v>
      </c>
      <c r="H77" s="128">
        <f>'OP2 Rater'!EZ31</f>
        <v>1250</v>
      </c>
      <c r="I77" s="128">
        <f>'OP2 Rater'!FA31</f>
        <v>1500</v>
      </c>
      <c r="J77" s="128">
        <f>'OP2 Rater'!FB31</f>
        <v>1750</v>
      </c>
      <c r="K77" s="128">
        <f>'OP2 Rater'!FC31</f>
        <v>2000</v>
      </c>
      <c r="L77" s="128">
        <f>'OP2 Rater'!FD31</f>
        <v>2250</v>
      </c>
      <c r="M77" s="128">
        <f>'OP2 Rater'!FE31</f>
        <v>2500</v>
      </c>
      <c r="N77" s="2"/>
      <c r="O77" s="2"/>
    </row>
    <row r="78" spans="1:15" ht="12.75">
      <c r="A78" s="129" t="str">
        <f>'OP1 Rater'!EC32</f>
        <v>Insured Only</v>
      </c>
      <c r="B78" s="130"/>
      <c r="C78" s="124"/>
      <c r="D78" s="131">
        <f>'OP2 Rater'!EV32</f>
        <v>5.84</v>
      </c>
      <c r="E78" s="131">
        <f>'OP2 Rater'!EW32</f>
        <v>10.5</v>
      </c>
      <c r="F78" s="131">
        <f>'OP2 Rater'!EX32</f>
        <v>12.6</v>
      </c>
      <c r="G78" s="131">
        <f>'OP2 Rater'!EY32</f>
        <v>14.57</v>
      </c>
      <c r="H78" s="131">
        <f>'OP2 Rater'!EZ32</f>
        <v>16.03</v>
      </c>
      <c r="I78" s="131">
        <f>'OP2 Rater'!FA32</f>
        <v>17.48</v>
      </c>
      <c r="J78" s="131">
        <f>'OP2 Rater'!FB32</f>
        <v>18.73</v>
      </c>
      <c r="K78" s="131">
        <f>'OP2 Rater'!FC32</f>
        <v>19.98</v>
      </c>
      <c r="L78" s="131">
        <f>'OP2 Rater'!FD32</f>
        <v>20.99</v>
      </c>
      <c r="M78" s="131">
        <f>'OP2 Rater'!FE32</f>
        <v>21.98</v>
      </c>
      <c r="N78" s="2"/>
      <c r="O78" s="2"/>
    </row>
    <row r="79" spans="1:15" ht="12.75">
      <c r="A79" s="132" t="str">
        <f>'OP1 Rater'!EC33</f>
        <v>Insured Plus Spouse</v>
      </c>
      <c r="B79" s="133"/>
      <c r="C79" s="124"/>
      <c r="D79" s="131">
        <f>'OP2 Rater'!EV33</f>
        <v>10.49</v>
      </c>
      <c r="E79" s="131">
        <f>'OP2 Rater'!EW33</f>
        <v>18.89</v>
      </c>
      <c r="F79" s="131">
        <f>'OP2 Rater'!EX33</f>
        <v>22.65</v>
      </c>
      <c r="G79" s="131">
        <f>'OP2 Rater'!EY33</f>
        <v>26.25</v>
      </c>
      <c r="H79" s="131">
        <f>'OP2 Rater'!EZ33</f>
        <v>28.88</v>
      </c>
      <c r="I79" s="131">
        <f>'OP2 Rater'!FA33</f>
        <v>31.5</v>
      </c>
      <c r="J79" s="131">
        <f>'OP2 Rater'!FB33</f>
        <v>33.75</v>
      </c>
      <c r="K79" s="131">
        <f>'OP2 Rater'!FC33</f>
        <v>35.99</v>
      </c>
      <c r="L79" s="131">
        <f>'OP2 Rater'!FD33</f>
        <v>37.79</v>
      </c>
      <c r="M79" s="131">
        <f>'OP2 Rater'!FE33</f>
        <v>39.58</v>
      </c>
      <c r="N79" s="2"/>
      <c r="O79" s="2"/>
    </row>
    <row r="80" spans="1:15" ht="12.75">
      <c r="A80" s="132" t="str">
        <f>'OP1 Rater'!EC34</f>
        <v>Insured Plus Children</v>
      </c>
      <c r="B80" s="133"/>
      <c r="C80" s="124"/>
      <c r="D80" s="131">
        <f>'OP2 Rater'!EV34</f>
        <v>12.61</v>
      </c>
      <c r="E80" s="131">
        <f>'OP2 Rater'!EW34</f>
        <v>22.73</v>
      </c>
      <c r="F80" s="131">
        <f>'OP2 Rater'!EX34</f>
        <v>27.27</v>
      </c>
      <c r="G80" s="131">
        <f>'OP2 Rater'!EY34</f>
        <v>31.54</v>
      </c>
      <c r="H80" s="131">
        <f>'OP2 Rater'!EZ34</f>
        <v>34.7</v>
      </c>
      <c r="I80" s="131">
        <f>'OP2 Rater'!FA34</f>
        <v>37.85</v>
      </c>
      <c r="J80" s="131">
        <f>'OP2 Rater'!FB34</f>
        <v>40.56</v>
      </c>
      <c r="K80" s="131">
        <f>'OP2 Rater'!FC34</f>
        <v>43.26</v>
      </c>
      <c r="L80" s="131">
        <f>'OP2 Rater'!FD34</f>
        <v>45.43</v>
      </c>
      <c r="M80" s="131">
        <f>'OP2 Rater'!FE34</f>
        <v>47.59</v>
      </c>
      <c r="N80" s="2"/>
      <c r="O80" s="2"/>
    </row>
    <row r="81" spans="1:15" ht="12.75">
      <c r="A81" s="134" t="str">
        <f>'OP1 Rater'!EC35</f>
        <v>Insured Plus Family</v>
      </c>
      <c r="B81" s="135"/>
      <c r="C81" s="124"/>
      <c r="D81" s="131">
        <f>'OP2 Rater'!EV35</f>
        <v>17.26</v>
      </c>
      <c r="E81" s="131">
        <f>'OP2 Rater'!EW35</f>
        <v>31.11</v>
      </c>
      <c r="F81" s="131">
        <f>'OP2 Rater'!EX35</f>
        <v>37.28</v>
      </c>
      <c r="G81" s="131">
        <f>'OP2 Rater'!EY35</f>
        <v>43.18</v>
      </c>
      <c r="H81" s="131">
        <f>'OP2 Rater'!EZ35</f>
        <v>47.5</v>
      </c>
      <c r="I81" s="131">
        <f>'OP2 Rater'!FA35</f>
        <v>51.81</v>
      </c>
      <c r="J81" s="131">
        <f>'OP2 Rater'!FB35</f>
        <v>55.51</v>
      </c>
      <c r="K81" s="131">
        <f>'OP2 Rater'!FC35</f>
        <v>59.21</v>
      </c>
      <c r="L81" s="131">
        <f>'OP2 Rater'!FD35</f>
        <v>62.18</v>
      </c>
      <c r="M81" s="131">
        <f>'OP2 Rater'!FE35</f>
        <v>65.14</v>
      </c>
      <c r="N81" s="2"/>
      <c r="O81" s="2"/>
    </row>
    <row r="82" spans="1:15" ht="12.75">
      <c r="A82" s="124"/>
      <c r="B82" s="124"/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2"/>
      <c r="O82" s="2"/>
    </row>
    <row r="83" spans="1:15" ht="12.75">
      <c r="A83" s="124"/>
      <c r="B83" s="124"/>
      <c r="C83" s="124"/>
      <c r="D83" s="126" t="str">
        <f>'OP1 Rater'!EF38</f>
        <v>Insured with Attained Age 40 - 49</v>
      </c>
      <c r="E83" s="124"/>
      <c r="F83" s="124"/>
      <c r="G83" s="124"/>
      <c r="H83" s="124"/>
      <c r="I83" s="124"/>
      <c r="J83" s="124"/>
      <c r="K83" s="124"/>
      <c r="L83" s="124"/>
      <c r="M83" s="124"/>
      <c r="N83" s="2"/>
      <c r="O83" s="2"/>
    </row>
    <row r="84" spans="1:15" ht="6" customHeight="1">
      <c r="A84" s="124"/>
      <c r="B84" s="124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2"/>
      <c r="O84" s="2"/>
    </row>
    <row r="85" spans="1:15" ht="12.75">
      <c r="A85" s="124"/>
      <c r="B85" s="124"/>
      <c r="C85" s="124"/>
      <c r="D85" s="245" t="s">
        <v>5</v>
      </c>
      <c r="E85" s="246"/>
      <c r="F85" s="246"/>
      <c r="G85" s="246"/>
      <c r="H85" s="246"/>
      <c r="I85" s="246"/>
      <c r="J85" s="246"/>
      <c r="K85" s="246"/>
      <c r="L85" s="246"/>
      <c r="M85" s="247"/>
      <c r="N85" s="2"/>
      <c r="O85" s="2"/>
    </row>
    <row r="86" spans="1:15" ht="12.75">
      <c r="A86" s="40"/>
      <c r="B86" s="124"/>
      <c r="C86" s="124"/>
      <c r="D86" s="128">
        <f>'OP2 Rater'!EV41</f>
        <v>250</v>
      </c>
      <c r="E86" s="128">
        <f>'OP2 Rater'!EW41</f>
        <v>500</v>
      </c>
      <c r="F86" s="128">
        <f>'OP2 Rater'!EX41</f>
        <v>750</v>
      </c>
      <c r="G86" s="128">
        <f>'OP2 Rater'!EY41</f>
        <v>1000</v>
      </c>
      <c r="H86" s="128">
        <f>'OP2 Rater'!EZ41</f>
        <v>1250</v>
      </c>
      <c r="I86" s="128">
        <f>'OP2 Rater'!FA41</f>
        <v>1500</v>
      </c>
      <c r="J86" s="128">
        <f>'OP2 Rater'!FB41</f>
        <v>1750</v>
      </c>
      <c r="K86" s="128">
        <f>'OP2 Rater'!FC41</f>
        <v>2000</v>
      </c>
      <c r="L86" s="128">
        <f>'OP2 Rater'!FD41</f>
        <v>2250</v>
      </c>
      <c r="M86" s="128">
        <f>'OP2 Rater'!FE41</f>
        <v>2500</v>
      </c>
      <c r="N86" s="2"/>
      <c r="O86" s="2"/>
    </row>
    <row r="87" spans="1:15" ht="12.75">
      <c r="A87" s="129" t="str">
        <f>'OP1 Rater'!BX32</f>
        <v>Insured Only</v>
      </c>
      <c r="B87" s="130"/>
      <c r="C87" s="124"/>
      <c r="D87" s="131">
        <f>'OP2 Rater'!EV42</f>
        <v>7.39</v>
      </c>
      <c r="E87" s="131">
        <f>'OP2 Rater'!EW42</f>
        <v>13.29</v>
      </c>
      <c r="F87" s="131">
        <f>'OP2 Rater'!EX42</f>
        <v>15.95</v>
      </c>
      <c r="G87" s="131">
        <f>'OP2 Rater'!EY42</f>
        <v>18.45</v>
      </c>
      <c r="H87" s="131">
        <f>'OP2 Rater'!EZ42</f>
        <v>20.29</v>
      </c>
      <c r="I87" s="131">
        <f>'OP2 Rater'!FA42</f>
        <v>22.14</v>
      </c>
      <c r="J87" s="131">
        <f>'OP2 Rater'!FB42</f>
        <v>23.72</v>
      </c>
      <c r="K87" s="131">
        <f>'OP2 Rater'!FC42</f>
        <v>25.3</v>
      </c>
      <c r="L87" s="131">
        <f>'OP2 Rater'!FD42</f>
        <v>26.56</v>
      </c>
      <c r="M87" s="131">
        <f>'OP2 Rater'!FE42</f>
        <v>27.82</v>
      </c>
      <c r="N87" s="2"/>
      <c r="O87" s="2"/>
    </row>
    <row r="88" spans="1:15" ht="12.75">
      <c r="A88" s="132" t="str">
        <f>'OP1 Rater'!BX33</f>
        <v>Insured Plus Spouse</v>
      </c>
      <c r="B88" s="133"/>
      <c r="C88" s="124"/>
      <c r="D88" s="131">
        <f>'OP2 Rater'!EV43</f>
        <v>13.28</v>
      </c>
      <c r="E88" s="131">
        <f>'OP2 Rater'!EW43</f>
        <v>23.92</v>
      </c>
      <c r="F88" s="131">
        <f>'OP2 Rater'!EX43</f>
        <v>28.68</v>
      </c>
      <c r="G88" s="131">
        <f>'OP2 Rater'!EY43</f>
        <v>33.2</v>
      </c>
      <c r="H88" s="131">
        <f>'OP2 Rater'!EZ43</f>
        <v>36.53</v>
      </c>
      <c r="I88" s="131">
        <f>'OP2 Rater'!FA43</f>
        <v>39.85</v>
      </c>
      <c r="J88" s="131">
        <f>'OP2 Rater'!FB43</f>
        <v>42.69</v>
      </c>
      <c r="K88" s="131">
        <f>'OP2 Rater'!FC43</f>
        <v>45.54</v>
      </c>
      <c r="L88" s="131">
        <f>'OP2 Rater'!FD43</f>
        <v>47.82</v>
      </c>
      <c r="M88" s="131">
        <f>'OP2 Rater'!FE43</f>
        <v>50.08</v>
      </c>
      <c r="N88" s="2"/>
      <c r="O88" s="2"/>
    </row>
    <row r="89" spans="1:15" ht="12.75">
      <c r="A89" s="132" t="str">
        <f>'OP1 Rater'!BX34</f>
        <v>Insured Plus Children</v>
      </c>
      <c r="B89" s="133"/>
      <c r="C89" s="124"/>
      <c r="D89" s="131">
        <f>'OP2 Rater'!EV44</f>
        <v>13.35</v>
      </c>
      <c r="E89" s="131">
        <f>'OP2 Rater'!EW44</f>
        <v>24.05</v>
      </c>
      <c r="F89" s="131">
        <f>'OP2 Rater'!EX44</f>
        <v>28.87</v>
      </c>
      <c r="G89" s="131">
        <f>'OP2 Rater'!EY44</f>
        <v>33.4</v>
      </c>
      <c r="H89" s="131">
        <f>'OP2 Rater'!EZ44</f>
        <v>36.74</v>
      </c>
      <c r="I89" s="131">
        <f>'OP2 Rater'!FA44</f>
        <v>40.08</v>
      </c>
      <c r="J89" s="131">
        <f>'OP2 Rater'!FB44</f>
        <v>42.94</v>
      </c>
      <c r="K89" s="131">
        <f>'OP2 Rater'!FC44</f>
        <v>45.81</v>
      </c>
      <c r="L89" s="131">
        <f>'OP2 Rater'!FD44</f>
        <v>48.1</v>
      </c>
      <c r="M89" s="131">
        <f>'OP2 Rater'!FE44</f>
        <v>50.4</v>
      </c>
      <c r="N89" s="2"/>
      <c r="O89" s="2"/>
    </row>
    <row r="90" spans="1:15" ht="12.75">
      <c r="A90" s="134" t="str">
        <f>'OP1 Rater'!BX35</f>
        <v>Insured Plus Family</v>
      </c>
      <c r="B90" s="135"/>
      <c r="C90" s="124"/>
      <c r="D90" s="131">
        <f>'OP2 Rater'!EV45</f>
        <v>19.24</v>
      </c>
      <c r="E90" s="131">
        <f>'OP2 Rater'!EW45</f>
        <v>34.69</v>
      </c>
      <c r="F90" s="131">
        <f>'OP2 Rater'!EX45</f>
        <v>41.58</v>
      </c>
      <c r="G90" s="131">
        <f>'OP2 Rater'!EY45</f>
        <v>48.13</v>
      </c>
      <c r="H90" s="131">
        <f>'OP2 Rater'!EZ45</f>
        <v>52.94</v>
      </c>
      <c r="I90" s="131">
        <f>'OP2 Rater'!FA45</f>
        <v>57.76</v>
      </c>
      <c r="J90" s="131">
        <f>'OP2 Rater'!FB45</f>
        <v>61.88</v>
      </c>
      <c r="K90" s="131">
        <f>'OP2 Rater'!FC45</f>
        <v>66</v>
      </c>
      <c r="L90" s="131">
        <f>'OP2 Rater'!FD45</f>
        <v>69.3</v>
      </c>
      <c r="M90" s="131">
        <f>'OP2 Rater'!FE45</f>
        <v>72.59</v>
      </c>
      <c r="N90" s="2"/>
      <c r="O90" s="2"/>
    </row>
    <row r="91" spans="1:15" ht="12.75">
      <c r="A91" s="124"/>
      <c r="B91" s="124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2"/>
      <c r="O91" s="2"/>
    </row>
    <row r="92" spans="1:15" ht="12.75">
      <c r="A92" s="124"/>
      <c r="B92" s="124"/>
      <c r="C92" s="124"/>
      <c r="D92" s="126" t="str">
        <f>'OP1 Rater'!EF48</f>
        <v>Insured with Attained Age 50+</v>
      </c>
      <c r="E92" s="124"/>
      <c r="F92" s="124"/>
      <c r="G92" s="124"/>
      <c r="H92" s="124"/>
      <c r="I92" s="124"/>
      <c r="J92" s="124"/>
      <c r="K92" s="124"/>
      <c r="L92" s="124"/>
      <c r="M92" s="124"/>
      <c r="N92" s="2"/>
      <c r="O92" s="2"/>
    </row>
    <row r="93" spans="1:15" ht="6" customHeight="1">
      <c r="A93" s="124"/>
      <c r="B93" s="124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2"/>
      <c r="O93" s="2"/>
    </row>
    <row r="94" spans="1:15" ht="12.75">
      <c r="A94" s="124"/>
      <c r="B94" s="124"/>
      <c r="C94" s="124"/>
      <c r="D94" s="245" t="s">
        <v>5</v>
      </c>
      <c r="E94" s="246"/>
      <c r="F94" s="246"/>
      <c r="G94" s="246"/>
      <c r="H94" s="246"/>
      <c r="I94" s="246"/>
      <c r="J94" s="246"/>
      <c r="K94" s="246"/>
      <c r="L94" s="246"/>
      <c r="M94" s="247"/>
      <c r="N94" s="2"/>
      <c r="O94" s="2"/>
    </row>
    <row r="95" spans="1:15" ht="12.75">
      <c r="A95" s="40"/>
      <c r="B95" s="124"/>
      <c r="C95" s="124"/>
      <c r="D95" s="128">
        <f>'OP2 Rater'!EV51</f>
        <v>250</v>
      </c>
      <c r="E95" s="128">
        <f>'OP2 Rater'!EW51</f>
        <v>500</v>
      </c>
      <c r="F95" s="128">
        <f>'OP2 Rater'!EX51</f>
        <v>750</v>
      </c>
      <c r="G95" s="128">
        <f>'OP2 Rater'!EY51</f>
        <v>1000</v>
      </c>
      <c r="H95" s="128">
        <f>'OP2 Rater'!EZ51</f>
        <v>1250</v>
      </c>
      <c r="I95" s="128">
        <f>'OP2 Rater'!FA51</f>
        <v>1500</v>
      </c>
      <c r="J95" s="128">
        <f>'OP2 Rater'!FB51</f>
        <v>1750</v>
      </c>
      <c r="K95" s="128">
        <f>'OP2 Rater'!FC51</f>
        <v>2000</v>
      </c>
      <c r="L95" s="128">
        <f>'OP2 Rater'!FD51</f>
        <v>2250</v>
      </c>
      <c r="M95" s="128">
        <f>'OP2 Rater'!FE51</f>
        <v>2500</v>
      </c>
      <c r="N95" s="2"/>
      <c r="O95" s="2"/>
    </row>
    <row r="96" spans="1:15" ht="12.75">
      <c r="A96" s="129" t="str">
        <f>'OP1 Rater'!EC52</f>
        <v>Insured Only</v>
      </c>
      <c r="B96" s="130"/>
      <c r="C96" s="124"/>
      <c r="D96" s="131">
        <f>'OP2 Rater'!EV52</f>
        <v>15.19</v>
      </c>
      <c r="E96" s="131">
        <f>'OP2 Rater'!EW52</f>
        <v>27.33</v>
      </c>
      <c r="F96" s="131">
        <f>'OP2 Rater'!EX52</f>
        <v>32.79</v>
      </c>
      <c r="G96" s="131">
        <f>'OP2 Rater'!EY52</f>
        <v>37.93</v>
      </c>
      <c r="H96" s="131">
        <f>'OP2 Rater'!EZ52</f>
        <v>41.72</v>
      </c>
      <c r="I96" s="131">
        <f>'OP2 Rater'!FA52</f>
        <v>45.51</v>
      </c>
      <c r="J96" s="131">
        <f>'OP2 Rater'!FB52</f>
        <v>48.77</v>
      </c>
      <c r="K96" s="131">
        <f>'OP2 Rater'!FC52</f>
        <v>52.02</v>
      </c>
      <c r="L96" s="131">
        <f>'OP2 Rater'!FD52</f>
        <v>54.63</v>
      </c>
      <c r="M96" s="131">
        <f>'OP2 Rater'!FE52</f>
        <v>57.23</v>
      </c>
      <c r="N96" s="2"/>
      <c r="O96" s="2"/>
    </row>
    <row r="97" spans="1:15" ht="12.75">
      <c r="A97" s="132" t="str">
        <f>'OP1 Rater'!EC53</f>
        <v>Insured Plus Spouse</v>
      </c>
      <c r="B97" s="133"/>
      <c r="C97" s="124"/>
      <c r="D97" s="131">
        <f>'OP2 Rater'!EV53</f>
        <v>27.36</v>
      </c>
      <c r="E97" s="131">
        <f>'OP2 Rater'!EW53</f>
        <v>49.16</v>
      </c>
      <c r="F97" s="131">
        <f>'OP2 Rater'!EX53</f>
        <v>58.99</v>
      </c>
      <c r="G97" s="131">
        <f>'OP2 Rater'!EY53</f>
        <v>68.25</v>
      </c>
      <c r="H97" s="131">
        <f>'OP2 Rater'!EZ53</f>
        <v>75.08</v>
      </c>
      <c r="I97" s="131">
        <f>'OP2 Rater'!FA53</f>
        <v>81.9</v>
      </c>
      <c r="J97" s="131">
        <f>'OP2 Rater'!FB53</f>
        <v>87.75</v>
      </c>
      <c r="K97" s="131">
        <f>'OP2 Rater'!FC53</f>
        <v>93.6</v>
      </c>
      <c r="L97" s="131">
        <f>'OP2 Rater'!FD53</f>
        <v>98.28</v>
      </c>
      <c r="M97" s="131">
        <f>'OP2 Rater'!FE53</f>
        <v>102.96</v>
      </c>
      <c r="N97" s="2"/>
      <c r="O97" s="2"/>
    </row>
    <row r="98" spans="1:15" ht="12.75">
      <c r="A98" s="132" t="str">
        <f>'OP1 Rater'!EC54</f>
        <v>Insured Plus Children</v>
      </c>
      <c r="B98" s="133"/>
      <c r="C98" s="124"/>
      <c r="D98" s="131">
        <f>'OP2 Rater'!EV54</f>
        <v>24.31</v>
      </c>
      <c r="E98" s="131">
        <f>'OP2 Rater'!EW54</f>
        <v>43.72</v>
      </c>
      <c r="F98" s="131">
        <f>'OP2 Rater'!EX54</f>
        <v>52.5</v>
      </c>
      <c r="G98" s="131">
        <f>'OP2 Rater'!EY54</f>
        <v>60.74</v>
      </c>
      <c r="H98" s="131">
        <f>'OP2 Rater'!EZ54</f>
        <v>66.81</v>
      </c>
      <c r="I98" s="131">
        <f>'OP2 Rater'!FA54</f>
        <v>72.89</v>
      </c>
      <c r="J98" s="131">
        <f>'OP2 Rater'!FB54</f>
        <v>78.09</v>
      </c>
      <c r="K98" s="131">
        <f>'OP2 Rater'!FC54</f>
        <v>83.29</v>
      </c>
      <c r="L98" s="131">
        <f>'OP2 Rater'!FD54</f>
        <v>87.46</v>
      </c>
      <c r="M98" s="131">
        <f>'OP2 Rater'!FE54</f>
        <v>91.62</v>
      </c>
      <c r="N98" s="2"/>
      <c r="O98" s="2"/>
    </row>
    <row r="99" spans="1:15" ht="12.75">
      <c r="A99" s="134" t="str">
        <f>'OP1 Rater'!EC55</f>
        <v>Insured Plus Family</v>
      </c>
      <c r="B99" s="135"/>
      <c r="C99" s="124"/>
      <c r="D99" s="131">
        <f>'OP2 Rater'!EV55</f>
        <v>36.12</v>
      </c>
      <c r="E99" s="131">
        <f>'OP2 Rater'!EW55</f>
        <v>65.58</v>
      </c>
      <c r="F99" s="131">
        <f>'OP2 Rater'!EX55</f>
        <v>78.65</v>
      </c>
      <c r="G99" s="131">
        <f>'OP2 Rater'!EY55</f>
        <v>91.01</v>
      </c>
      <c r="H99" s="131">
        <f>'OP2 Rater'!EZ55</f>
        <v>100.1</v>
      </c>
      <c r="I99" s="131">
        <f>'OP2 Rater'!FA55</f>
        <v>109.2</v>
      </c>
      <c r="J99" s="131">
        <f>'OP2 Rater'!FB55</f>
        <v>117.01</v>
      </c>
      <c r="K99" s="131">
        <f>'OP2 Rater'!FC55</f>
        <v>124.82</v>
      </c>
      <c r="L99" s="131">
        <f>'OP2 Rater'!FD55</f>
        <v>131.06</v>
      </c>
      <c r="M99" s="131">
        <f>'OP2 Rater'!FE55</f>
        <v>137.31</v>
      </c>
      <c r="N99" s="2"/>
      <c r="O99" s="2"/>
    </row>
    <row r="100" spans="1:15" ht="12.75">
      <c r="A100" s="124"/>
      <c r="B100" s="124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2"/>
      <c r="O100" s="2"/>
    </row>
    <row r="101" spans="1:15" ht="12.75">
      <c r="A101" s="124"/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2"/>
      <c r="O101" s="2"/>
    </row>
    <row r="102" spans="1:15" ht="12.75">
      <c r="A102" s="125" t="str">
        <f>'OP1 Rater'!GG24</f>
        <v>ALL OTHER STATES</v>
      </c>
      <c r="B102" s="124"/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  <c r="N102" s="2"/>
      <c r="O102" s="2"/>
    </row>
    <row r="103" spans="1:15" ht="6" customHeight="1">
      <c r="A103" s="124"/>
      <c r="B103" s="124"/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2"/>
      <c r="O103" s="2"/>
    </row>
    <row r="104" spans="1:15" ht="12.75">
      <c r="A104" s="124"/>
      <c r="B104" s="124"/>
      <c r="C104" s="124"/>
      <c r="D104" s="126" t="str">
        <f>'OP1 Rater'!GJ28</f>
        <v>Insured with Attained Age Under 40</v>
      </c>
      <c r="E104" s="124"/>
      <c r="F104" s="124"/>
      <c r="G104" s="124"/>
      <c r="H104" s="124"/>
      <c r="I104" s="124"/>
      <c r="J104" s="124"/>
      <c r="K104" s="124"/>
      <c r="L104" s="124"/>
      <c r="M104" s="124"/>
      <c r="N104" s="2"/>
      <c r="O104" s="2"/>
    </row>
    <row r="105" spans="1:15" ht="6" customHeight="1">
      <c r="A105" s="124"/>
      <c r="B105" s="124"/>
      <c r="C105" s="124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  <c r="N105" s="2"/>
      <c r="O105" s="2"/>
    </row>
    <row r="106" spans="1:15" ht="12.75">
      <c r="A106" s="124"/>
      <c r="B106" s="124"/>
      <c r="C106" s="124"/>
      <c r="D106" s="245" t="s">
        <v>5</v>
      </c>
      <c r="E106" s="246"/>
      <c r="F106" s="246"/>
      <c r="G106" s="246"/>
      <c r="H106" s="246"/>
      <c r="I106" s="246"/>
      <c r="J106" s="246"/>
      <c r="K106" s="246"/>
      <c r="L106" s="246"/>
      <c r="M106" s="247"/>
      <c r="N106" s="2"/>
      <c r="O106" s="2"/>
    </row>
    <row r="107" spans="1:15" ht="12.75">
      <c r="A107" s="40"/>
      <c r="B107" s="124"/>
      <c r="C107" s="124"/>
      <c r="D107" s="128">
        <f>'OP2 Rater'!HA31</f>
        <v>250</v>
      </c>
      <c r="E107" s="128">
        <f>'OP2 Rater'!HB31</f>
        <v>500</v>
      </c>
      <c r="F107" s="128">
        <f>'OP2 Rater'!HC31</f>
        <v>750</v>
      </c>
      <c r="G107" s="128">
        <f>'OP2 Rater'!HD31</f>
        <v>1000</v>
      </c>
      <c r="H107" s="128">
        <f>'OP2 Rater'!HE31</f>
        <v>1250</v>
      </c>
      <c r="I107" s="128">
        <f>'OP2 Rater'!HF31</f>
        <v>1500</v>
      </c>
      <c r="J107" s="128">
        <f>'OP2 Rater'!HG31</f>
        <v>1750</v>
      </c>
      <c r="K107" s="128">
        <f>'OP2 Rater'!HH31</f>
        <v>2000</v>
      </c>
      <c r="L107" s="128">
        <f>'OP2 Rater'!HI31</f>
        <v>2250</v>
      </c>
      <c r="M107" s="128">
        <f>'OP2 Rater'!HJ31</f>
        <v>2500</v>
      </c>
      <c r="N107" s="2"/>
      <c r="O107" s="2"/>
    </row>
    <row r="108" spans="1:15" ht="12.75">
      <c r="A108" s="129" t="str">
        <f>'OP1 Rater'!GG32</f>
        <v>Insured Only</v>
      </c>
      <c r="B108" s="130"/>
      <c r="C108" s="124"/>
      <c r="D108" s="131">
        <f>'OP2 Rater'!HA32</f>
        <v>5.84</v>
      </c>
      <c r="E108" s="131">
        <f>'OP2 Rater'!HB32</f>
        <v>10.5</v>
      </c>
      <c r="F108" s="131">
        <f>'OP2 Rater'!HC32</f>
        <v>12.6</v>
      </c>
      <c r="G108" s="131">
        <f>'OP2 Rater'!HD32</f>
        <v>14.57</v>
      </c>
      <c r="H108" s="131">
        <f>'OP2 Rater'!HE32</f>
        <v>16.03</v>
      </c>
      <c r="I108" s="131">
        <f>'OP2 Rater'!HF32</f>
        <v>17.48</v>
      </c>
      <c r="J108" s="131">
        <f>'OP2 Rater'!HG32</f>
        <v>18.73</v>
      </c>
      <c r="K108" s="131">
        <f>'OP2 Rater'!HH32</f>
        <v>19.98</v>
      </c>
      <c r="L108" s="131">
        <f>'OP2 Rater'!HI32</f>
        <v>20.99</v>
      </c>
      <c r="M108" s="131">
        <f>'OP2 Rater'!HJ32</f>
        <v>21.98</v>
      </c>
      <c r="N108" s="2"/>
      <c r="O108" s="2"/>
    </row>
    <row r="109" spans="1:15" ht="12.75">
      <c r="A109" s="132" t="str">
        <f>'OP1 Rater'!GG33</f>
        <v>Insured Plus Spouse</v>
      </c>
      <c r="B109" s="133"/>
      <c r="C109" s="124"/>
      <c r="D109" s="131">
        <f>'OP2 Rater'!HA33</f>
        <v>10.49</v>
      </c>
      <c r="E109" s="131">
        <f>'OP2 Rater'!HB33</f>
        <v>18.89</v>
      </c>
      <c r="F109" s="131">
        <f>'OP2 Rater'!HC33</f>
        <v>22.65</v>
      </c>
      <c r="G109" s="131">
        <f>'OP2 Rater'!HD33</f>
        <v>26.25</v>
      </c>
      <c r="H109" s="131">
        <f>'OP2 Rater'!HE33</f>
        <v>28.88</v>
      </c>
      <c r="I109" s="131">
        <f>'OP2 Rater'!HF33</f>
        <v>31.5</v>
      </c>
      <c r="J109" s="131">
        <f>'OP2 Rater'!HG33</f>
        <v>33.75</v>
      </c>
      <c r="K109" s="131">
        <f>'OP2 Rater'!HH33</f>
        <v>35.99</v>
      </c>
      <c r="L109" s="131">
        <f>'OP2 Rater'!HI33</f>
        <v>37.79</v>
      </c>
      <c r="M109" s="131">
        <f>'OP2 Rater'!HJ33</f>
        <v>39.58</v>
      </c>
      <c r="N109" s="2"/>
      <c r="O109" s="2"/>
    </row>
    <row r="110" spans="1:15" ht="12.75">
      <c r="A110" s="132" t="str">
        <f>'OP1 Rater'!GG34</f>
        <v>Insured Plus Children</v>
      </c>
      <c r="B110" s="133"/>
      <c r="C110" s="124"/>
      <c r="D110" s="131">
        <f>'OP2 Rater'!HA34</f>
        <v>12.61</v>
      </c>
      <c r="E110" s="131">
        <f>'OP2 Rater'!HB34</f>
        <v>22.73</v>
      </c>
      <c r="F110" s="131">
        <f>'OP2 Rater'!HC34</f>
        <v>27.27</v>
      </c>
      <c r="G110" s="131">
        <f>'OP2 Rater'!HD34</f>
        <v>31.54</v>
      </c>
      <c r="H110" s="131">
        <f>'OP2 Rater'!HE34</f>
        <v>34.7</v>
      </c>
      <c r="I110" s="131">
        <f>'OP2 Rater'!HF34</f>
        <v>37.85</v>
      </c>
      <c r="J110" s="131">
        <f>'OP2 Rater'!HG34</f>
        <v>40.56</v>
      </c>
      <c r="K110" s="131">
        <f>'OP2 Rater'!HH34</f>
        <v>43.26</v>
      </c>
      <c r="L110" s="131">
        <f>'OP2 Rater'!HI34</f>
        <v>45.43</v>
      </c>
      <c r="M110" s="131">
        <f>'OP2 Rater'!HJ34</f>
        <v>47.59</v>
      </c>
      <c r="N110" s="2"/>
      <c r="O110" s="2"/>
    </row>
    <row r="111" spans="1:15" ht="12.75">
      <c r="A111" s="134" t="str">
        <f>'OP1 Rater'!GG35</f>
        <v>Insured Plus Family</v>
      </c>
      <c r="B111" s="135"/>
      <c r="C111" s="124"/>
      <c r="D111" s="131">
        <f>'OP2 Rater'!HA35</f>
        <v>17.26</v>
      </c>
      <c r="E111" s="131">
        <f>'OP2 Rater'!HB35</f>
        <v>31.11</v>
      </c>
      <c r="F111" s="131">
        <f>'OP2 Rater'!HC35</f>
        <v>37.28</v>
      </c>
      <c r="G111" s="131">
        <f>'OP2 Rater'!HD35</f>
        <v>43.18</v>
      </c>
      <c r="H111" s="131">
        <f>'OP2 Rater'!HE35</f>
        <v>47.5</v>
      </c>
      <c r="I111" s="131">
        <f>'OP2 Rater'!HF35</f>
        <v>51.81</v>
      </c>
      <c r="J111" s="131">
        <f>'OP2 Rater'!HG35</f>
        <v>55.51</v>
      </c>
      <c r="K111" s="131">
        <f>'OP2 Rater'!HH35</f>
        <v>59.21</v>
      </c>
      <c r="L111" s="131">
        <f>'OP2 Rater'!HI35</f>
        <v>62.18</v>
      </c>
      <c r="M111" s="131">
        <f>'OP2 Rater'!HJ35</f>
        <v>65.14</v>
      </c>
      <c r="N111" s="2"/>
      <c r="O111" s="2"/>
    </row>
    <row r="112" spans="1:15" ht="12.75">
      <c r="A112" s="124"/>
      <c r="B112" s="124"/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2"/>
      <c r="O112" s="2"/>
    </row>
    <row r="113" spans="1:15" ht="12.75">
      <c r="A113" s="124"/>
      <c r="B113" s="124"/>
      <c r="C113" s="124"/>
      <c r="D113" s="126" t="str">
        <f>'OP1 Rater'!GJ48</f>
        <v>Insured with Attained Age 50+</v>
      </c>
      <c r="E113" s="124"/>
      <c r="F113" s="124"/>
      <c r="G113" s="124"/>
      <c r="H113" s="124"/>
      <c r="I113" s="124"/>
      <c r="J113" s="124"/>
      <c r="K113" s="124"/>
      <c r="L113" s="124"/>
      <c r="M113" s="124"/>
      <c r="N113" s="2"/>
      <c r="O113" s="2"/>
    </row>
    <row r="114" spans="1:15" ht="6" customHeight="1">
      <c r="A114" s="124"/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2"/>
      <c r="O114" s="2"/>
    </row>
    <row r="115" spans="1:15" ht="12.75">
      <c r="A115" s="124"/>
      <c r="B115" s="124"/>
      <c r="C115" s="124"/>
      <c r="D115" s="245" t="s">
        <v>5</v>
      </c>
      <c r="E115" s="248"/>
      <c r="F115" s="248"/>
      <c r="G115" s="248"/>
      <c r="H115" s="248"/>
      <c r="I115" s="248"/>
      <c r="J115" s="248"/>
      <c r="K115" s="248"/>
      <c r="L115" s="248"/>
      <c r="M115" s="248"/>
      <c r="N115" s="2"/>
      <c r="O115" s="2"/>
    </row>
    <row r="116" spans="1:15" ht="12.75">
      <c r="A116" s="40"/>
      <c r="B116" s="124"/>
      <c r="C116" s="124"/>
      <c r="D116" s="128">
        <f>'OP2 Rater'!HA41</f>
        <v>250</v>
      </c>
      <c r="E116" s="128">
        <f>'OP2 Rater'!HB41</f>
        <v>500</v>
      </c>
      <c r="F116" s="128">
        <f>'OP2 Rater'!HC41</f>
        <v>750</v>
      </c>
      <c r="G116" s="128">
        <f>'OP2 Rater'!HD41</f>
        <v>1000</v>
      </c>
      <c r="H116" s="128">
        <f>'OP2 Rater'!HE41</f>
        <v>1250</v>
      </c>
      <c r="I116" s="128">
        <f>'OP2 Rater'!HF41</f>
        <v>1500</v>
      </c>
      <c r="J116" s="128">
        <f>'OP2 Rater'!HG41</f>
        <v>1750</v>
      </c>
      <c r="K116" s="128">
        <f>'OP2 Rater'!HH41</f>
        <v>2000</v>
      </c>
      <c r="L116" s="128">
        <f>'OP2 Rater'!HI41</f>
        <v>2250</v>
      </c>
      <c r="M116" s="128">
        <f>'OP2 Rater'!HJ41</f>
        <v>2500</v>
      </c>
      <c r="N116" s="2"/>
      <c r="O116" s="2"/>
    </row>
    <row r="117" spans="1:15" ht="12.75">
      <c r="A117" s="129" t="str">
        <f>'OP1 Rater'!GG42</f>
        <v>Insured Only</v>
      </c>
      <c r="B117" s="130"/>
      <c r="C117" s="124"/>
      <c r="D117" s="131">
        <f>'OP2 Rater'!HA42</f>
        <v>7.39</v>
      </c>
      <c r="E117" s="131">
        <f>'OP2 Rater'!HB42</f>
        <v>13.29</v>
      </c>
      <c r="F117" s="131">
        <f>'OP2 Rater'!HC42</f>
        <v>15.95</v>
      </c>
      <c r="G117" s="131">
        <f>'OP2 Rater'!HD42</f>
        <v>18.45</v>
      </c>
      <c r="H117" s="131">
        <f>'OP2 Rater'!HE42</f>
        <v>20.29</v>
      </c>
      <c r="I117" s="131">
        <f>'OP2 Rater'!HF42</f>
        <v>22.14</v>
      </c>
      <c r="J117" s="131">
        <f>'OP2 Rater'!HG42</f>
        <v>23.72</v>
      </c>
      <c r="K117" s="131">
        <f>'OP2 Rater'!HH42</f>
        <v>25.3</v>
      </c>
      <c r="L117" s="131">
        <f>'OP2 Rater'!HI42</f>
        <v>26.56</v>
      </c>
      <c r="M117" s="131">
        <f>'OP2 Rater'!HJ42</f>
        <v>27.82</v>
      </c>
      <c r="N117" s="2"/>
      <c r="O117" s="2"/>
    </row>
    <row r="118" spans="1:15" ht="12.75">
      <c r="A118" s="132" t="str">
        <f>'OP1 Rater'!GG43</f>
        <v>Insured Plus Spouse</v>
      </c>
      <c r="B118" s="133"/>
      <c r="C118" s="124"/>
      <c r="D118" s="131">
        <f>'OP2 Rater'!HA43</f>
        <v>13.28</v>
      </c>
      <c r="E118" s="131">
        <f>'OP2 Rater'!HB43</f>
        <v>23.92</v>
      </c>
      <c r="F118" s="131">
        <f>'OP2 Rater'!HC43</f>
        <v>28.68</v>
      </c>
      <c r="G118" s="131">
        <f>'OP2 Rater'!HD43</f>
        <v>33.2</v>
      </c>
      <c r="H118" s="131">
        <f>'OP2 Rater'!HE43</f>
        <v>36.53</v>
      </c>
      <c r="I118" s="131">
        <f>'OP2 Rater'!HF43</f>
        <v>39.85</v>
      </c>
      <c r="J118" s="131">
        <f>'OP2 Rater'!HG43</f>
        <v>42.69</v>
      </c>
      <c r="K118" s="131">
        <f>'OP2 Rater'!HH43</f>
        <v>45.54</v>
      </c>
      <c r="L118" s="131">
        <f>'OP2 Rater'!HI43</f>
        <v>47.82</v>
      </c>
      <c r="M118" s="131">
        <f>'OP2 Rater'!HJ43</f>
        <v>50.08</v>
      </c>
      <c r="N118" s="2"/>
      <c r="O118" s="2"/>
    </row>
    <row r="119" spans="1:15" ht="12.75">
      <c r="A119" s="132" t="str">
        <f>'OP1 Rater'!GG44</f>
        <v>Insured Plus Children</v>
      </c>
      <c r="B119" s="133"/>
      <c r="C119" s="124"/>
      <c r="D119" s="131">
        <f>'OP2 Rater'!HA44</f>
        <v>13.35</v>
      </c>
      <c r="E119" s="131">
        <f>'OP2 Rater'!HB44</f>
        <v>24.05</v>
      </c>
      <c r="F119" s="131">
        <f>'OP2 Rater'!HC44</f>
        <v>28.87</v>
      </c>
      <c r="G119" s="131">
        <f>'OP2 Rater'!HD44</f>
        <v>33.4</v>
      </c>
      <c r="H119" s="131">
        <f>'OP2 Rater'!HE44</f>
        <v>36.74</v>
      </c>
      <c r="I119" s="131">
        <f>'OP2 Rater'!HF44</f>
        <v>40.08</v>
      </c>
      <c r="J119" s="131">
        <f>'OP2 Rater'!HG44</f>
        <v>42.94</v>
      </c>
      <c r="K119" s="131">
        <f>'OP2 Rater'!HH44</f>
        <v>45.81</v>
      </c>
      <c r="L119" s="131">
        <f>'OP2 Rater'!HI44</f>
        <v>48.1</v>
      </c>
      <c r="M119" s="131">
        <f>'OP2 Rater'!HJ44</f>
        <v>50.4</v>
      </c>
      <c r="N119" s="2"/>
      <c r="O119" s="2"/>
    </row>
    <row r="120" spans="1:15" ht="12.75">
      <c r="A120" s="134" t="str">
        <f>'OP1 Rater'!GG45</f>
        <v>Insured Plus Family</v>
      </c>
      <c r="B120" s="135"/>
      <c r="C120" s="124"/>
      <c r="D120" s="131">
        <f>'OP2 Rater'!HA45</f>
        <v>19.24</v>
      </c>
      <c r="E120" s="131">
        <f>'OP2 Rater'!HB45</f>
        <v>34.69</v>
      </c>
      <c r="F120" s="131">
        <f>'OP2 Rater'!HC45</f>
        <v>41.58</v>
      </c>
      <c r="G120" s="131">
        <f>'OP2 Rater'!HD45</f>
        <v>48.13</v>
      </c>
      <c r="H120" s="131">
        <f>'OP2 Rater'!HE45</f>
        <v>52.94</v>
      </c>
      <c r="I120" s="131">
        <f>'OP2 Rater'!HF45</f>
        <v>57.76</v>
      </c>
      <c r="J120" s="131">
        <f>'OP2 Rater'!HG45</f>
        <v>61.88</v>
      </c>
      <c r="K120" s="131">
        <f>'OP2 Rater'!HH45</f>
        <v>66</v>
      </c>
      <c r="L120" s="131">
        <f>'OP2 Rater'!HI45</f>
        <v>69.3</v>
      </c>
      <c r="M120" s="131">
        <f>'OP2 Rater'!HJ45</f>
        <v>72.59</v>
      </c>
      <c r="N120" s="2"/>
      <c r="O120" s="2"/>
    </row>
    <row r="121" spans="1:15" ht="12.75">
      <c r="A121" s="124"/>
      <c r="B121" s="124"/>
      <c r="C121" s="124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2"/>
      <c r="O121" s="2"/>
    </row>
    <row r="122" spans="1:15" ht="12.75">
      <c r="A122" s="124"/>
      <c r="B122" s="124"/>
      <c r="C122" s="124"/>
      <c r="D122" s="126" t="str">
        <f>'OP1 Rater'!GJ48</f>
        <v>Insured with Attained Age 50+</v>
      </c>
      <c r="E122" s="124"/>
      <c r="F122" s="124"/>
      <c r="G122" s="124"/>
      <c r="H122" s="124"/>
      <c r="I122" s="124"/>
      <c r="J122" s="124"/>
      <c r="K122" s="124"/>
      <c r="L122" s="124"/>
      <c r="M122" s="124"/>
      <c r="N122" s="2"/>
      <c r="O122" s="2"/>
    </row>
    <row r="123" spans="1:15" ht="6" customHeight="1">
      <c r="A123" s="124"/>
      <c r="B123" s="124"/>
      <c r="C123" s="124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  <c r="N123" s="2"/>
      <c r="O123" s="2"/>
    </row>
    <row r="124" spans="1:15" ht="12.75">
      <c r="A124" s="124"/>
      <c r="B124" s="124"/>
      <c r="C124" s="124"/>
      <c r="D124" s="245" t="s">
        <v>5</v>
      </c>
      <c r="E124" s="246"/>
      <c r="F124" s="246"/>
      <c r="G124" s="246"/>
      <c r="H124" s="246"/>
      <c r="I124" s="246"/>
      <c r="J124" s="246"/>
      <c r="K124" s="246"/>
      <c r="L124" s="246"/>
      <c r="M124" s="247"/>
      <c r="N124" s="2"/>
      <c r="O124" s="2"/>
    </row>
    <row r="125" spans="1:15" ht="12.75">
      <c r="A125" s="40"/>
      <c r="B125" s="124"/>
      <c r="C125" s="124"/>
      <c r="D125" s="128">
        <f>'OP2 Rater'!HA51</f>
        <v>250</v>
      </c>
      <c r="E125" s="128">
        <f>'OP2 Rater'!HB51</f>
        <v>500</v>
      </c>
      <c r="F125" s="128">
        <f>'OP2 Rater'!HC51</f>
        <v>750</v>
      </c>
      <c r="G125" s="128">
        <f>'OP2 Rater'!HD51</f>
        <v>1000</v>
      </c>
      <c r="H125" s="128">
        <f>'OP2 Rater'!HE51</f>
        <v>1250</v>
      </c>
      <c r="I125" s="128">
        <f>'OP2 Rater'!HF51</f>
        <v>1500</v>
      </c>
      <c r="J125" s="128">
        <f>'OP2 Rater'!HG51</f>
        <v>1750</v>
      </c>
      <c r="K125" s="128">
        <f>'OP2 Rater'!HH51</f>
        <v>2000</v>
      </c>
      <c r="L125" s="128">
        <f>'OP2 Rater'!HI51</f>
        <v>2250</v>
      </c>
      <c r="M125" s="128">
        <f>'OP2 Rater'!HJ51</f>
        <v>2500</v>
      </c>
      <c r="N125" s="2"/>
      <c r="O125" s="2"/>
    </row>
    <row r="126" spans="1:15" ht="12.75">
      <c r="A126" s="129" t="str">
        <f>'OP1 Rater'!GG52</f>
        <v>Insured Only</v>
      </c>
      <c r="B126" s="130"/>
      <c r="C126" s="124"/>
      <c r="D126" s="131">
        <f>'OP2 Rater'!HA52</f>
        <v>15.19</v>
      </c>
      <c r="E126" s="131">
        <f>'OP2 Rater'!HB52</f>
        <v>27.33</v>
      </c>
      <c r="F126" s="131">
        <f>'OP2 Rater'!HC52</f>
        <v>32.79</v>
      </c>
      <c r="G126" s="131">
        <f>'OP2 Rater'!HD52</f>
        <v>37.93</v>
      </c>
      <c r="H126" s="131">
        <f>'OP2 Rater'!HE52</f>
        <v>41.72</v>
      </c>
      <c r="I126" s="131">
        <f>'OP2 Rater'!HF52</f>
        <v>45.51</v>
      </c>
      <c r="J126" s="131">
        <f>'OP2 Rater'!HG52</f>
        <v>48.77</v>
      </c>
      <c r="K126" s="131">
        <f>'OP2 Rater'!HH52</f>
        <v>52.02</v>
      </c>
      <c r="L126" s="131">
        <f>'OP2 Rater'!HI52</f>
        <v>54.63</v>
      </c>
      <c r="M126" s="131">
        <f>'OP2 Rater'!HJ52</f>
        <v>57.23</v>
      </c>
      <c r="N126" s="2"/>
      <c r="O126" s="2"/>
    </row>
    <row r="127" spans="1:15" ht="12.75">
      <c r="A127" s="132" t="str">
        <f>'OP1 Rater'!GG53</f>
        <v>Insured Plus Spouse</v>
      </c>
      <c r="B127" s="133"/>
      <c r="C127" s="124"/>
      <c r="D127" s="131">
        <f>'OP2 Rater'!HA53</f>
        <v>27.36</v>
      </c>
      <c r="E127" s="131">
        <f>'OP2 Rater'!HB53</f>
        <v>49.16</v>
      </c>
      <c r="F127" s="131">
        <f>'OP2 Rater'!HC53</f>
        <v>58.99</v>
      </c>
      <c r="G127" s="131">
        <f>'OP2 Rater'!HD53</f>
        <v>68.25</v>
      </c>
      <c r="H127" s="131">
        <f>'OP2 Rater'!HE53</f>
        <v>75.08</v>
      </c>
      <c r="I127" s="131">
        <f>'OP2 Rater'!HF53</f>
        <v>81.9</v>
      </c>
      <c r="J127" s="131">
        <f>'OP2 Rater'!HG53</f>
        <v>87.75</v>
      </c>
      <c r="K127" s="131">
        <f>'OP2 Rater'!HH53</f>
        <v>93.6</v>
      </c>
      <c r="L127" s="131">
        <f>'OP2 Rater'!HI53</f>
        <v>98.28</v>
      </c>
      <c r="M127" s="131">
        <f>'OP2 Rater'!HJ53</f>
        <v>102.96</v>
      </c>
      <c r="N127" s="2"/>
      <c r="O127" s="2"/>
    </row>
    <row r="128" spans="1:15" ht="12.75">
      <c r="A128" s="132" t="str">
        <f>'OP1 Rater'!GG54</f>
        <v>Insured Plus Children</v>
      </c>
      <c r="B128" s="133"/>
      <c r="C128" s="124"/>
      <c r="D128" s="131">
        <f>'OP2 Rater'!HA54</f>
        <v>24.31</v>
      </c>
      <c r="E128" s="131">
        <f>'OP2 Rater'!HB54</f>
        <v>43.72</v>
      </c>
      <c r="F128" s="131">
        <f>'OP2 Rater'!HC54</f>
        <v>52.5</v>
      </c>
      <c r="G128" s="131">
        <f>'OP2 Rater'!HD54</f>
        <v>60.74</v>
      </c>
      <c r="H128" s="131">
        <f>'OP2 Rater'!HE54</f>
        <v>66.81</v>
      </c>
      <c r="I128" s="131">
        <f>'OP2 Rater'!HF54</f>
        <v>72.89</v>
      </c>
      <c r="J128" s="131">
        <f>'OP2 Rater'!HG54</f>
        <v>78.09</v>
      </c>
      <c r="K128" s="131">
        <f>'OP2 Rater'!HH54</f>
        <v>83.29</v>
      </c>
      <c r="L128" s="131">
        <f>'OP2 Rater'!HI54</f>
        <v>87.46</v>
      </c>
      <c r="M128" s="131">
        <f>'OP2 Rater'!HJ54</f>
        <v>91.62</v>
      </c>
      <c r="N128" s="2"/>
      <c r="O128" s="2"/>
    </row>
    <row r="129" spans="1:15" ht="12.75">
      <c r="A129" s="134" t="str">
        <f>'OP1 Rater'!GG55</f>
        <v>Insured Plus Family</v>
      </c>
      <c r="B129" s="135"/>
      <c r="C129" s="124"/>
      <c r="D129" s="131">
        <f>'OP2 Rater'!HA55</f>
        <v>36.12</v>
      </c>
      <c r="E129" s="131">
        <f>'OP2 Rater'!HB55</f>
        <v>65.58</v>
      </c>
      <c r="F129" s="131">
        <f>'OP2 Rater'!HC55</f>
        <v>78.65</v>
      </c>
      <c r="G129" s="131">
        <f>'OP2 Rater'!HD55</f>
        <v>91.01</v>
      </c>
      <c r="H129" s="131">
        <f>'OP2 Rater'!HE55</f>
        <v>100.1</v>
      </c>
      <c r="I129" s="131">
        <f>'OP2 Rater'!HF55</f>
        <v>109.2</v>
      </c>
      <c r="J129" s="131">
        <f>'OP2 Rater'!HG55</f>
        <v>117.01</v>
      </c>
      <c r="K129" s="131">
        <f>'OP2 Rater'!HH55</f>
        <v>124.82</v>
      </c>
      <c r="L129" s="131">
        <f>'OP2 Rater'!HI55</f>
        <v>131.06</v>
      </c>
      <c r="M129" s="131">
        <f>'OP2 Rater'!HJ55</f>
        <v>137.31</v>
      </c>
      <c r="N129" s="2"/>
      <c r="O129" s="2"/>
    </row>
    <row r="130" spans="1:15" ht="12.75">
      <c r="A130" s="124"/>
      <c r="B130" s="124"/>
      <c r="C130" s="124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2"/>
      <c r="O130" s="2"/>
    </row>
    <row r="131" spans="1:15" ht="12.75">
      <c r="A131" s="124"/>
      <c r="B131" s="124"/>
      <c r="C131" s="124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2"/>
      <c r="O131" s="2"/>
    </row>
    <row r="132" spans="1:15" ht="12.75">
      <c r="A132" s="124"/>
      <c r="B132" s="124"/>
      <c r="C132" s="124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  <c r="N132" s="2"/>
      <c r="O132" s="2"/>
    </row>
    <row r="133" spans="1:15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1:15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1:15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5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1:15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1:15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1:15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1:15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spans="1:15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spans="1:15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1:15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1:15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spans="1:15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1:15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1:15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1:15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1:15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1:15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1:15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1:15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1:15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1:15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spans="1:15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spans="1:15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spans="1:15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spans="1:15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spans="1:15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spans="1:15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spans="1:15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spans="1:15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spans="1:15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spans="1:15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spans="1:15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spans="1:15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spans="1:15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1:15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1:15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1:15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spans="1:15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1:15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spans="1:15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spans="1:15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spans="1:15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spans="1:15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 spans="1:15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 spans="1:15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 spans="1:15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spans="1:15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spans="1:15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 spans="1:15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 spans="1:15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spans="1:15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spans="1:15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 spans="1:15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spans="1:15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 spans="1:15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</row>
    <row r="256" spans="1:15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</row>
    <row r="257" spans="1:15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</row>
    <row r="258" spans="1:15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</row>
    <row r="261" spans="1:15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</row>
    <row r="262" spans="1:15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</row>
    <row r="263" spans="1:15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</row>
    <row r="266" spans="1:15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</row>
    <row r="267" spans="1:15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spans="1:15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</row>
    <row r="271" spans="1:15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</row>
    <row r="272" spans="1:15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</row>
    <row r="273" spans="1:15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</row>
    <row r="276" spans="1:15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</row>
    <row r="277" spans="1:15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</row>
    <row r="278" spans="1:15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</row>
    <row r="281" spans="1:15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</row>
    <row r="282" spans="1:15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</row>
    <row r="283" spans="1:15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</row>
    <row r="286" spans="1:15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</row>
    <row r="287" spans="1:15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</row>
    <row r="288" spans="1:15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</row>
    <row r="291" spans="1:15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</row>
    <row r="292" spans="1:15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</row>
    <row r="293" spans="1:15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</row>
    <row r="296" spans="1:15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</row>
    <row r="297" spans="1:15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</row>
    <row r="298" spans="1:15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</row>
    <row r="301" spans="1:15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</row>
    <row r="302" spans="1:15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</row>
    <row r="303" spans="1:15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</row>
    <row r="304" spans="1:15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</row>
    <row r="305" spans="1:15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</row>
    <row r="306" spans="1:15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</row>
    <row r="307" spans="1:15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</row>
    <row r="308" spans="1:15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</row>
    <row r="309" spans="1:15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</row>
    <row r="310" spans="1:15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</row>
    <row r="311" spans="1:15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</row>
    <row r="312" spans="1:15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</row>
    <row r="313" spans="1:15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</row>
    <row r="314" spans="1:15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</row>
    <row r="315" spans="1:15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</row>
    <row r="316" spans="1:15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</row>
    <row r="317" spans="1:15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</row>
    <row r="318" spans="1:15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</row>
    <row r="319" spans="1:15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</row>
    <row r="320" spans="1:15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</row>
    <row r="321" spans="1:15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</row>
    <row r="322" spans="1:15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</row>
    <row r="323" spans="1:15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</row>
    <row r="324" spans="1:15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</row>
    <row r="325" spans="1:15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</row>
    <row r="326" spans="1:15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</row>
    <row r="327" spans="1:15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</row>
    <row r="328" spans="1:15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</row>
    <row r="329" spans="1:15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</row>
    <row r="330" spans="1:15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</row>
    <row r="331" spans="1:15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</row>
    <row r="332" spans="1:15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</row>
    <row r="333" spans="1:15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</row>
    <row r="334" spans="1:15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</row>
    <row r="335" spans="1:15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</row>
    <row r="336" spans="1:15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</row>
    <row r="337" spans="1:15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</row>
    <row r="338" spans="1:15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</row>
    <row r="339" spans="1:15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</row>
    <row r="340" spans="1:15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</row>
    <row r="341" spans="1:15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</row>
    <row r="342" spans="1:15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</row>
    <row r="343" spans="1:15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</row>
    <row r="344" spans="1:15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</row>
    <row r="345" spans="1:15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</row>
    <row r="346" spans="1:15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</row>
    <row r="347" spans="1:15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</row>
    <row r="348" spans="1:15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</row>
    <row r="349" spans="1:15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</row>
    <row r="350" spans="1:15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</row>
    <row r="351" spans="1:15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</row>
    <row r="352" spans="1:15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</row>
    <row r="353" spans="1:15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</row>
    <row r="354" spans="1:15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</row>
    <row r="355" spans="1:15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</row>
    <row r="356" spans="1:15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</row>
    <row r="357" spans="1:15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</row>
    <row r="358" spans="1:15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</row>
    <row r="359" spans="1:15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</row>
    <row r="360" spans="1:15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</row>
    <row r="361" spans="1:15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</row>
    <row r="362" spans="1:15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</row>
    <row r="363" spans="1:15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</row>
    <row r="364" spans="1:15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</row>
    <row r="365" spans="1:15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</row>
    <row r="366" spans="1:15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</row>
    <row r="367" spans="1:15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</row>
    <row r="368" spans="1:15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</row>
    <row r="369" spans="1:15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</row>
    <row r="370" spans="1:15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</row>
    <row r="371" spans="1:15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</row>
    <row r="372" spans="1:15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</row>
    <row r="373" spans="1:15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</row>
    <row r="374" spans="1:15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</row>
    <row r="375" spans="1:15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</row>
    <row r="376" spans="1:15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</row>
    <row r="377" spans="1:15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</row>
    <row r="378" spans="1:15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</row>
    <row r="379" spans="1:15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</row>
    <row r="380" spans="1:15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</row>
    <row r="381" spans="1:15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</row>
    <row r="382" spans="1:15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</row>
    <row r="383" spans="1:15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</row>
    <row r="384" spans="1:15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</row>
    <row r="385" spans="1:15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</row>
    <row r="386" spans="1:15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</row>
    <row r="387" spans="1:15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</row>
    <row r="388" spans="1:15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</row>
    <row r="389" spans="1:15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</row>
    <row r="390" spans="1:15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</row>
    <row r="391" spans="1:15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</row>
    <row r="392" spans="1:15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</row>
    <row r="393" spans="1:15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</row>
    <row r="394" spans="1:15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</row>
    <row r="395" spans="1:15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</row>
    <row r="396" spans="1:15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</row>
    <row r="397" spans="1:15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</row>
    <row r="398" spans="1:15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</row>
    <row r="399" spans="1:15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</row>
    <row r="400" spans="1:15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</row>
    <row r="401" spans="1:15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</row>
    <row r="402" spans="1:15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</row>
    <row r="403" spans="1:15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</row>
    <row r="404" spans="1:15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</row>
    <row r="405" spans="1:15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</row>
    <row r="406" spans="1:15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</row>
    <row r="407" spans="1:15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</row>
    <row r="408" spans="1:15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</row>
    <row r="409" spans="1:15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</row>
    <row r="410" spans="1:15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</row>
    <row r="411" spans="1:15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</row>
    <row r="412" spans="1:15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</row>
    <row r="413" spans="1:15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</row>
    <row r="414" spans="1:15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</row>
    <row r="415" spans="1:15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</row>
    <row r="416" spans="1:15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</row>
    <row r="417" spans="1:15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</row>
    <row r="418" spans="1:15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</row>
    <row r="419" spans="1:15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</row>
    <row r="420" spans="1:15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</row>
    <row r="421" spans="1:15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</row>
    <row r="422" spans="1:15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</row>
    <row r="423" spans="1:15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</row>
    <row r="424" spans="1:15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</row>
    <row r="425" spans="1:15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</row>
    <row r="426" spans="1:15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</row>
    <row r="427" spans="1:15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</row>
    <row r="428" spans="1:15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</row>
    <row r="429" spans="1:15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</row>
    <row r="430" spans="1:15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</row>
    <row r="431" spans="1:15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</row>
    <row r="432" spans="1:15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</row>
    <row r="433" spans="1:15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</row>
    <row r="434" spans="1:15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</row>
    <row r="435" spans="1:15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</row>
    <row r="436" spans="1:15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</row>
    <row r="437" spans="1:15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</row>
    <row r="438" spans="1:15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</row>
    <row r="439" spans="1:15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</row>
    <row r="440" spans="1:15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</row>
    <row r="441" spans="1:15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</row>
    <row r="442" spans="1:15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</row>
    <row r="443" spans="1:15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</row>
    <row r="444" spans="1:15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</row>
    <row r="445" spans="1:15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</row>
    <row r="446" spans="1:15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</row>
    <row r="447" spans="1:15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</row>
    <row r="448" spans="1:15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</row>
    <row r="449" spans="1:15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</row>
    <row r="450" spans="1:15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</row>
    <row r="451" spans="1:15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</row>
    <row r="452" spans="1:15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</row>
    <row r="453" spans="1:15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</row>
    <row r="454" spans="1:15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</row>
    <row r="455" spans="1:15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</row>
    <row r="456" spans="1:15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</row>
    <row r="457" spans="1:15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</row>
    <row r="458" spans="1:15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</row>
    <row r="459" spans="1:15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</row>
    <row r="460" spans="1:15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</row>
    <row r="461" spans="1:15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</row>
    <row r="462" spans="1:15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</row>
    <row r="463" spans="1:15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</row>
    <row r="464" spans="1:15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</row>
    <row r="465" spans="1:15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</row>
    <row r="466" spans="1:15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</row>
    <row r="467" spans="1:15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</row>
    <row r="468" spans="1:15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</row>
    <row r="469" spans="1:15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</row>
    <row r="470" spans="1:15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</row>
    <row r="471" spans="1:15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</row>
    <row r="472" spans="1:15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</row>
    <row r="473" spans="1:15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</row>
    <row r="474" spans="1:15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</row>
    <row r="475" spans="1:15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</row>
    <row r="476" spans="1:15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</row>
    <row r="477" spans="1:15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</row>
    <row r="478" spans="1:15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</row>
    <row r="479" spans="1:15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</row>
    <row r="480" spans="1:15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</row>
    <row r="481" spans="1:15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</row>
    <row r="482" spans="1:15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</row>
    <row r="483" spans="1:15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</row>
    <row r="484" spans="1:15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</row>
    <row r="485" spans="1:15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</row>
    <row r="486" spans="1:15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</row>
    <row r="487" spans="1:15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</row>
    <row r="488" spans="1:15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</row>
    <row r="489" spans="1:15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</row>
    <row r="490" spans="1:15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</row>
    <row r="491" spans="1:15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</row>
    <row r="492" spans="1:15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</row>
    <row r="493" spans="1:15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</row>
    <row r="494" spans="1:15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</row>
    <row r="495" spans="1:15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</row>
    <row r="496" spans="1:15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</row>
    <row r="497" spans="1:15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</row>
    <row r="498" spans="1:15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</row>
    <row r="499" spans="1:15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</row>
    <row r="500" spans="1:15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</row>
    <row r="501" spans="1:15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</row>
    <row r="502" spans="1:15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</row>
    <row r="503" spans="1:15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</row>
    <row r="504" spans="1:15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</row>
    <row r="505" spans="1:15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</row>
    <row r="506" spans="1:15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</row>
    <row r="507" spans="1:15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</row>
    <row r="508" spans="1:15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</row>
    <row r="509" spans="1:15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</row>
    <row r="510" spans="1:15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</row>
    <row r="511" spans="1:15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</row>
    <row r="512" spans="1:15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</row>
    <row r="513" spans="1:15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</row>
    <row r="514" spans="1:15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</row>
    <row r="515" spans="1:15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</row>
    <row r="516" spans="1:15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</row>
    <row r="517" spans="1:15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</row>
    <row r="518" spans="1:15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</row>
    <row r="519" spans="1:15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</row>
    <row r="520" spans="1:15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</row>
    <row r="521" spans="1:15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</row>
    <row r="522" spans="1:15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</row>
    <row r="523" spans="1:15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</row>
    <row r="524" spans="1:15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</row>
    <row r="525" spans="1:15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</row>
    <row r="526" spans="1:15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</row>
    <row r="527" spans="1:15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</row>
    <row r="528" spans="1:15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</row>
    <row r="529" spans="1:15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</row>
    <row r="530" spans="1:15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</row>
    <row r="531" spans="1:15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</row>
    <row r="532" spans="1:15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</row>
    <row r="533" spans="1:15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</row>
    <row r="534" spans="1:15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</row>
    <row r="535" spans="1:15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</row>
    <row r="536" spans="1:15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</row>
    <row r="537" spans="1:15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</row>
    <row r="538" spans="1:15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</row>
    <row r="539" spans="1:15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</row>
    <row r="540" spans="1:15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</row>
    <row r="541" spans="1:15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</row>
    <row r="542" spans="1:15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</row>
    <row r="543" spans="1:15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</row>
    <row r="544" spans="1:15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</row>
    <row r="545" spans="1:15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</row>
    <row r="546" spans="1:15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</row>
    <row r="547" spans="1:15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</row>
    <row r="548" spans="1:15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</row>
    <row r="549" spans="1:15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</row>
    <row r="550" spans="1:15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</row>
    <row r="551" spans="1:15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</row>
    <row r="552" spans="1:15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</row>
    <row r="553" spans="1:15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</row>
    <row r="554" spans="1:15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</row>
    <row r="555" spans="1:15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</row>
    <row r="556" spans="1:15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</row>
    <row r="557" spans="1:15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</row>
    <row r="558" spans="1:15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</row>
    <row r="559" spans="1:15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</row>
    <row r="560" spans="1:15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</row>
    <row r="561" spans="1:15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</row>
    <row r="562" spans="1:15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</row>
    <row r="563" spans="1:15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</row>
    <row r="564" spans="1:15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</row>
    <row r="565" spans="1:15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</row>
    <row r="566" spans="1:15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</row>
    <row r="567" spans="1:15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</row>
    <row r="568" spans="1:15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</row>
    <row r="569" spans="1:15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</row>
    <row r="570" spans="1:15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</row>
    <row r="571" spans="1:15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</row>
    <row r="572" spans="1:15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</row>
    <row r="573" spans="1:15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</row>
    <row r="574" spans="1:15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</row>
    <row r="575" spans="1:15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</row>
    <row r="576" spans="1:15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</row>
    <row r="577" spans="1:15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</row>
    <row r="578" spans="1:15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</row>
    <row r="579" spans="1:15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</row>
    <row r="580" spans="1:15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</row>
    <row r="581" spans="1:15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</row>
    <row r="582" spans="1:15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</row>
    <row r="583" spans="1:15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</row>
    <row r="584" spans="1:15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</row>
    <row r="585" spans="1:15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</row>
    <row r="586" spans="1:15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</row>
    <row r="587" spans="1:15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</row>
    <row r="588" spans="1:15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</row>
    <row r="589" spans="1:15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</row>
    <row r="590" spans="1:15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</row>
    <row r="591" spans="1:15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</row>
    <row r="592" spans="1:15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</row>
    <row r="593" spans="1:15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</row>
    <row r="594" spans="1:15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</row>
    <row r="595" spans="1:15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</row>
    <row r="596" spans="1:15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</row>
    <row r="597" spans="1:15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</row>
    <row r="598" spans="1:15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</row>
    <row r="599" spans="1:15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</row>
    <row r="600" spans="1:15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</row>
    <row r="601" spans="1:15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</row>
    <row r="602" spans="1:15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</row>
    <row r="603" spans="1:15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</row>
    <row r="604" spans="1:15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</row>
    <row r="605" spans="1:15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</row>
    <row r="606" spans="1:15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</row>
    <row r="607" spans="1:15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</row>
    <row r="608" spans="1:15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</row>
    <row r="609" spans="1:15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</row>
    <row r="610" spans="1:15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</row>
    <row r="611" spans="1:15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</row>
    <row r="612" spans="1:15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</row>
    <row r="613" spans="1:15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</row>
    <row r="614" spans="1:15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</row>
    <row r="615" spans="1:15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</row>
    <row r="616" spans="1:15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</row>
    <row r="617" spans="1:15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</row>
    <row r="618" spans="1:15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</row>
    <row r="619" spans="1:15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</row>
    <row r="620" spans="1:15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</row>
    <row r="621" spans="1:15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</row>
    <row r="622" spans="1:15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</row>
    <row r="623" spans="1:15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</row>
    <row r="624" spans="1:15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</row>
    <row r="625" spans="1:15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</row>
    <row r="626" spans="1:15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</row>
    <row r="627" spans="1:15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</row>
    <row r="628" spans="1:15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</row>
    <row r="629" spans="1:15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</row>
    <row r="630" spans="1:15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</row>
    <row r="631" spans="1:15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</row>
    <row r="632" spans="1:15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</row>
    <row r="633" spans="1:15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</row>
    <row r="634" spans="1:15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</row>
    <row r="635" spans="1:15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</row>
    <row r="636" spans="1:15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</row>
    <row r="637" spans="1:15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</row>
    <row r="638" spans="1:15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</row>
    <row r="639" spans="1:15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</row>
    <row r="640" spans="1:15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</row>
    <row r="641" spans="1:15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</row>
    <row r="642" spans="1:15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</row>
    <row r="643" spans="1:15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</row>
    <row r="644" spans="1:15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</row>
    <row r="645" spans="1:15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</row>
    <row r="646" spans="1:15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</row>
    <row r="647" spans="1:15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</row>
    <row r="648" spans="1:15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</row>
    <row r="649" spans="1:15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</row>
    <row r="650" spans="1:15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</row>
    <row r="651" spans="1:15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</row>
    <row r="652" spans="1:15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</row>
    <row r="653" spans="1:15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</row>
    <row r="654" spans="1:15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</row>
    <row r="655" spans="1:15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</row>
    <row r="656" spans="1:15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</row>
    <row r="657" spans="1:15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</row>
    <row r="658" spans="1:15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</row>
    <row r="659" spans="1:15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</row>
    <row r="660" spans="1:15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</row>
    <row r="661" spans="1:15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</row>
    <row r="662" spans="1:15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</row>
    <row r="663" spans="1:15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</row>
    <row r="664" spans="1:15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</row>
    <row r="665" spans="1:15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</row>
    <row r="666" spans="1:15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</row>
    <row r="667" spans="1:15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</row>
    <row r="668" spans="1:15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</row>
    <row r="669" spans="1:15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</row>
    <row r="670" spans="1:15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</row>
    <row r="671" spans="1:15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</row>
    <row r="672" spans="1:15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</row>
    <row r="673" spans="1:15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</row>
    <row r="674" spans="1:15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</row>
    <row r="675" spans="1:15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</row>
    <row r="676" spans="1:15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</row>
    <row r="677" spans="1:15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</row>
    <row r="678" spans="1:15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</row>
    <row r="679" spans="1:15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</row>
    <row r="680" spans="1:15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</row>
    <row r="681" spans="1:15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</row>
    <row r="682" spans="1:15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</row>
    <row r="683" spans="1:15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</row>
    <row r="684" spans="1:15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</row>
    <row r="685" spans="1:15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</row>
    <row r="686" spans="1:15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</row>
    <row r="687" spans="1:15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</row>
    <row r="688" spans="1:15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</row>
    <row r="689" spans="1:15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</row>
    <row r="690" spans="1:15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</row>
    <row r="691" spans="1:15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</row>
    <row r="692" spans="1:15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</row>
    <row r="693" spans="1:15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</row>
    <row r="694" spans="1:15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</row>
    <row r="695" spans="1:15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</row>
    <row r="696" spans="1:15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</row>
    <row r="697" spans="1:15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</row>
    <row r="698" spans="1:15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</row>
    <row r="699" spans="1:15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</row>
    <row r="700" spans="1:15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</row>
    <row r="701" spans="1:15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</row>
    <row r="702" spans="1:15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</row>
    <row r="703" spans="1:15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</row>
    <row r="704" spans="1:15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</row>
    <row r="705" spans="1:15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</row>
    <row r="706" spans="1:15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</row>
    <row r="707" spans="1:15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</row>
    <row r="708" spans="1:15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</row>
    <row r="709" spans="1:15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</row>
    <row r="710" spans="1:15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</row>
    <row r="711" spans="1:15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</row>
    <row r="712" spans="1:15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</row>
    <row r="713" spans="1:15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</row>
    <row r="714" spans="1:15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</row>
    <row r="715" spans="1:15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</row>
    <row r="716" spans="1:15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</row>
    <row r="717" spans="1:15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</row>
    <row r="718" spans="1:15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</row>
    <row r="719" spans="1:15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</row>
    <row r="720" spans="1:15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</row>
    <row r="721" spans="1:15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</row>
    <row r="722" spans="1:15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</row>
    <row r="723" spans="1:15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</row>
    <row r="724" spans="1:15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</row>
    <row r="725" spans="1:15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</row>
    <row r="726" spans="1:15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</row>
    <row r="727" spans="1:15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</row>
    <row r="728" spans="1:15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</row>
    <row r="729" spans="1:15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</row>
    <row r="730" spans="1:15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</row>
    <row r="731" spans="1:15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</row>
    <row r="732" spans="1:15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</row>
    <row r="733" spans="1:15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</row>
    <row r="734" spans="1:15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</row>
    <row r="735" spans="1:15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</row>
    <row r="736" spans="1:15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</row>
    <row r="737" spans="1:15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</row>
    <row r="738" spans="1:15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</row>
    <row r="739" spans="1:15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</row>
    <row r="740" spans="1:15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</row>
    <row r="741" spans="1:15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</row>
    <row r="742" spans="1:15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</row>
    <row r="743" spans="1:15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</row>
    <row r="744" spans="1:15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</row>
    <row r="745" spans="1:15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</row>
    <row r="746" spans="1:15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</row>
    <row r="747" spans="1:15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</row>
    <row r="748" spans="1:15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</row>
    <row r="749" spans="1:15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</row>
    <row r="750" spans="1:15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</row>
    <row r="751" spans="1:15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</row>
    <row r="752" spans="1:15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</row>
    <row r="753" spans="1:15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</row>
    <row r="754" spans="1:15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</row>
    <row r="755" spans="1:15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</row>
    <row r="756" spans="1:15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</row>
    <row r="757" spans="1:15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</row>
  </sheetData>
  <sheetProtection password="DF46" sheet="1" selectLockedCells="1"/>
  <mergeCells count="15">
    <mergeCell ref="D16:M16"/>
    <mergeCell ref="D8:M8"/>
    <mergeCell ref="D9:M9"/>
    <mergeCell ref="D10:M10"/>
    <mergeCell ref="D46:M46"/>
    <mergeCell ref="D55:M55"/>
    <mergeCell ref="D94:M94"/>
    <mergeCell ref="D106:M106"/>
    <mergeCell ref="D115:M115"/>
    <mergeCell ref="D124:M124"/>
    <mergeCell ref="D34:M34"/>
    <mergeCell ref="D25:M25"/>
    <mergeCell ref="D64:M64"/>
    <mergeCell ref="D76:M76"/>
    <mergeCell ref="D85:M85"/>
  </mergeCells>
  <printOptions/>
  <pageMargins left="0.51" right="0.2" top="0.35" bottom="0.32" header="0.3" footer="0.3"/>
  <pageSetup horizontalDpi="600" verticalDpi="600" orientation="portrait" scale="83" r:id="rId2"/>
  <headerFooter>
    <oddFooter>&amp;L&amp;8All States Rater v. 2013-09-01&amp;R&amp;8&amp;P</oddFooter>
  </headerFooter>
  <rowBreaks count="1" manualBreakCount="1">
    <brk id="70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M766"/>
  <sheetViews>
    <sheetView zoomScalePageLayoutView="0" workbookViewId="0" topLeftCell="A1">
      <selection activeCell="A7" sqref="A7"/>
    </sheetView>
  </sheetViews>
  <sheetFormatPr defaultColWidth="9.140625" defaultRowHeight="12.75"/>
  <cols>
    <col min="2" max="2" width="10.421875" style="0" customWidth="1"/>
    <col min="3" max="3" width="2.57421875" style="0" customWidth="1"/>
  </cols>
  <sheetData>
    <row r="1" spans="1:13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2.75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</row>
    <row r="8" spans="1:13" ht="12.75">
      <c r="A8" s="124"/>
      <c r="B8" s="124"/>
      <c r="C8" s="124"/>
      <c r="D8" s="205" t="s">
        <v>101</v>
      </c>
      <c r="E8" s="205"/>
      <c r="F8" s="205"/>
      <c r="G8" s="205"/>
      <c r="H8" s="123"/>
      <c r="I8" s="205" t="s">
        <v>102</v>
      </c>
      <c r="J8" s="205"/>
      <c r="K8" s="205"/>
      <c r="L8" s="124"/>
      <c r="M8" s="124"/>
    </row>
    <row r="9" spans="1:13" ht="12.75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</row>
    <row r="10" spans="1:13" ht="12.75">
      <c r="A10" s="125" t="str">
        <f>'OP1 Rater'!U24</f>
        <v>FLORIDA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</row>
    <row r="11" spans="1:13" ht="6" customHeight="1">
      <c r="A11" s="40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</row>
    <row r="12" spans="1:13" ht="12.75">
      <c r="A12" s="124"/>
      <c r="B12" s="124"/>
      <c r="C12" s="124"/>
      <c r="D12" s="126" t="str">
        <f>'OP1 Rater'!X28</f>
        <v>Insured with Attained Age Under 40</v>
      </c>
      <c r="E12" s="124"/>
      <c r="F12" s="124"/>
      <c r="G12" s="124"/>
      <c r="H12" s="124"/>
      <c r="I12" s="124"/>
      <c r="J12" s="124"/>
      <c r="K12" s="124"/>
      <c r="L12" s="124"/>
      <c r="M12" s="124"/>
    </row>
    <row r="13" spans="1:13" ht="6" customHeight="1">
      <c r="A13" s="124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</row>
    <row r="14" spans="1:13" ht="12.75">
      <c r="A14" s="124"/>
      <c r="B14" s="124"/>
      <c r="C14" s="124"/>
      <c r="D14" s="245" t="s">
        <v>5</v>
      </c>
      <c r="E14" s="248"/>
      <c r="F14" s="248"/>
      <c r="G14" s="248"/>
      <c r="H14" s="136"/>
      <c r="I14" s="245" t="s">
        <v>5</v>
      </c>
      <c r="J14" s="246"/>
      <c r="K14" s="247"/>
      <c r="L14" s="124"/>
      <c r="M14" s="124"/>
    </row>
    <row r="15" spans="1:13" ht="12.75">
      <c r="A15" s="124"/>
      <c r="B15" s="124"/>
      <c r="C15" s="124"/>
      <c r="D15" s="245" t="s">
        <v>103</v>
      </c>
      <c r="E15" s="249"/>
      <c r="F15" s="246" t="s">
        <v>104</v>
      </c>
      <c r="G15" s="247"/>
      <c r="H15" s="144"/>
      <c r="I15" s="127"/>
      <c r="J15" s="127"/>
      <c r="K15" s="127"/>
      <c r="L15" s="124"/>
      <c r="M15" s="124"/>
    </row>
    <row r="16" spans="1:13" ht="12.75">
      <c r="A16" s="124"/>
      <c r="B16" s="124"/>
      <c r="C16" s="124"/>
      <c r="D16" s="253">
        <f>'OP1 Rater'!BC31</f>
        <v>15</v>
      </c>
      <c r="E16" s="249"/>
      <c r="F16" s="253">
        <f>'OP1 Rater'!BD31</f>
        <v>20</v>
      </c>
      <c r="G16" s="249"/>
      <c r="H16" s="137"/>
      <c r="I16" s="128">
        <f>'OP1 Rater'!BF31</f>
        <v>100</v>
      </c>
      <c r="J16" s="128">
        <f>'OP1 Rater'!BG31</f>
        <v>200</v>
      </c>
      <c r="K16" s="128">
        <f>'OP1 Rater'!BH31</f>
        <v>500</v>
      </c>
      <c r="L16" s="124"/>
      <c r="M16" s="124"/>
    </row>
    <row r="17" spans="1:13" ht="12.75">
      <c r="A17" s="129" t="str">
        <f>'OP1 Rater'!U32</f>
        <v>Insured Only</v>
      </c>
      <c r="B17" s="130"/>
      <c r="C17" s="124"/>
      <c r="D17" s="252">
        <f>'OP1 Rater'!BC32</f>
        <v>3.95</v>
      </c>
      <c r="E17" s="249"/>
      <c r="F17" s="252">
        <f>'OP1 Rater'!BD32</f>
        <v>6.07</v>
      </c>
      <c r="G17" s="249"/>
      <c r="H17" s="138"/>
      <c r="I17" s="131">
        <f>'OP1 Rater'!BF32</f>
        <v>1.6</v>
      </c>
      <c r="J17" s="131">
        <f>'OP1 Rater'!BG32</f>
        <v>3.09</v>
      </c>
      <c r="K17" s="131">
        <f>'OP1 Rater'!BH32</f>
        <v>6.92</v>
      </c>
      <c r="L17" s="124"/>
      <c r="M17" s="124"/>
    </row>
    <row r="18" spans="1:13" ht="12.75">
      <c r="A18" s="132" t="str">
        <f>'OP1 Rater'!U33</f>
        <v>Insured Plus Spouse</v>
      </c>
      <c r="B18" s="133"/>
      <c r="C18" s="124"/>
      <c r="D18" s="252">
        <f>'OP1 Rater'!BC33</f>
        <v>7.21</v>
      </c>
      <c r="E18" s="249"/>
      <c r="F18" s="252">
        <f>'OP1 Rater'!BD33</f>
        <v>11.9</v>
      </c>
      <c r="G18" s="249"/>
      <c r="H18" s="138"/>
      <c r="I18" s="131">
        <f>'OP1 Rater'!BF33</f>
        <v>3.2</v>
      </c>
      <c r="J18" s="131">
        <f>'OP1 Rater'!BG33</f>
        <v>6.12</v>
      </c>
      <c r="K18" s="131">
        <f>'OP1 Rater'!BH33</f>
        <v>13.74</v>
      </c>
      <c r="L18" s="124"/>
      <c r="M18" s="124"/>
    </row>
    <row r="19" spans="1:13" ht="12.75">
      <c r="A19" s="132" t="str">
        <f>'OP1 Rater'!U34</f>
        <v>Insured Plus Children</v>
      </c>
      <c r="B19" s="133"/>
      <c r="C19" s="124"/>
      <c r="D19" s="252">
        <f>'OP1 Rater'!BC34</f>
        <v>8.47</v>
      </c>
      <c r="E19" s="249"/>
      <c r="F19" s="252">
        <f>'OP1 Rater'!BD34</f>
        <v>15.8</v>
      </c>
      <c r="G19" s="249"/>
      <c r="H19" s="138"/>
      <c r="I19" s="131">
        <f>'OP1 Rater'!BF34</f>
        <v>7.84</v>
      </c>
      <c r="J19" s="131">
        <f>'OP1 Rater'!BG34</f>
        <v>14.94</v>
      </c>
      <c r="K19" s="131">
        <f>'OP1 Rater'!BH34</f>
        <v>33.37</v>
      </c>
      <c r="L19" s="124"/>
      <c r="M19" s="124"/>
    </row>
    <row r="20" spans="1:13" ht="12.75">
      <c r="A20" s="134" t="str">
        <f>'OP1 Rater'!U35</f>
        <v>Insured Plus Family</v>
      </c>
      <c r="B20" s="135"/>
      <c r="C20" s="124"/>
      <c r="D20" s="252">
        <f>'OP1 Rater'!BC35</f>
        <v>10.42</v>
      </c>
      <c r="E20" s="249"/>
      <c r="F20" s="252">
        <f>'OP1 Rater'!BD35</f>
        <v>19.23</v>
      </c>
      <c r="G20" s="249"/>
      <c r="H20" s="138"/>
      <c r="I20" s="131">
        <f>'OP1 Rater'!BF35</f>
        <v>9.04</v>
      </c>
      <c r="J20" s="131">
        <f>'OP1 Rater'!BG35</f>
        <v>17.23</v>
      </c>
      <c r="K20" s="131">
        <f>'OP1 Rater'!BH35</f>
        <v>38.52</v>
      </c>
      <c r="L20" s="124"/>
      <c r="M20" s="124"/>
    </row>
    <row r="21" spans="1:13" ht="12.75">
      <c r="A21" s="124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</row>
    <row r="22" spans="1:13" ht="12.75">
      <c r="A22" s="124"/>
      <c r="B22" s="124"/>
      <c r="C22" s="124"/>
      <c r="D22" s="126" t="str">
        <f>'OP1 Rater'!X38</f>
        <v>Insured with Attained Age 40 - 49</v>
      </c>
      <c r="E22" s="124"/>
      <c r="F22" s="124"/>
      <c r="G22" s="124"/>
      <c r="H22" s="124"/>
      <c r="I22" s="124"/>
      <c r="J22" s="124"/>
      <c r="K22" s="124"/>
      <c r="L22" s="124"/>
      <c r="M22" s="124"/>
    </row>
    <row r="23" spans="1:13" ht="6" customHeight="1">
      <c r="A23" s="124"/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</row>
    <row r="24" spans="1:13" ht="12.75">
      <c r="A24" s="124"/>
      <c r="B24" s="124"/>
      <c r="C24" s="124"/>
      <c r="D24" s="245" t="s">
        <v>5</v>
      </c>
      <c r="E24" s="248"/>
      <c r="F24" s="248"/>
      <c r="G24" s="248"/>
      <c r="H24" s="136"/>
      <c r="I24" s="245" t="s">
        <v>5</v>
      </c>
      <c r="J24" s="246"/>
      <c r="K24" s="247"/>
      <c r="L24" s="124"/>
      <c r="M24" s="124"/>
    </row>
    <row r="25" spans="1:13" ht="12.75">
      <c r="A25" s="124"/>
      <c r="B25" s="124"/>
      <c r="C25" s="124"/>
      <c r="D25" s="245" t="s">
        <v>103</v>
      </c>
      <c r="E25" s="249"/>
      <c r="F25" s="246" t="s">
        <v>104</v>
      </c>
      <c r="G25" s="247"/>
      <c r="H25" s="144"/>
      <c r="I25" s="127"/>
      <c r="J25" s="127"/>
      <c r="K25" s="127"/>
      <c r="L25" s="124"/>
      <c r="M25" s="124"/>
    </row>
    <row r="26" spans="1:13" ht="12.75">
      <c r="A26" s="124"/>
      <c r="B26" s="124"/>
      <c r="C26" s="124"/>
      <c r="D26" s="253">
        <f>'OP1 Rater'!BC41</f>
        <v>15</v>
      </c>
      <c r="E26" s="249"/>
      <c r="F26" s="253">
        <f>'OP1 Rater'!BD41</f>
        <v>20</v>
      </c>
      <c r="G26" s="249"/>
      <c r="H26" s="137"/>
      <c r="I26" s="139">
        <f>'OP1 Rater'!BF41</f>
        <v>100</v>
      </c>
      <c r="J26" s="128">
        <f>'OP1 Rater'!BG41</f>
        <v>200</v>
      </c>
      <c r="K26" s="128">
        <f>'OP1 Rater'!BH41</f>
        <v>500</v>
      </c>
      <c r="L26" s="124"/>
      <c r="M26" s="124"/>
    </row>
    <row r="27" spans="1:13" ht="12.75">
      <c r="A27" s="129" t="str">
        <f>'OP1 Rater'!U42</f>
        <v>Insured Only</v>
      </c>
      <c r="B27" s="130"/>
      <c r="C27" s="124"/>
      <c r="D27" s="252">
        <f>'OP1 Rater'!BC42</f>
        <v>5</v>
      </c>
      <c r="E27" s="249"/>
      <c r="F27" s="252">
        <f>'OP1 Rater'!BD42</f>
        <v>7.67</v>
      </c>
      <c r="G27" s="249"/>
      <c r="H27" s="138"/>
      <c r="I27" s="140">
        <f>'OP1 Rater'!BF42</f>
        <v>2.07</v>
      </c>
      <c r="J27" s="131">
        <f>'OP1 Rater'!BG42</f>
        <v>3.89</v>
      </c>
      <c r="K27" s="131">
        <f>'OP1 Rater'!BH42</f>
        <v>8.73</v>
      </c>
      <c r="L27" s="124"/>
      <c r="M27" s="124"/>
    </row>
    <row r="28" spans="1:13" ht="12.75">
      <c r="A28" s="132" t="str">
        <f>'OP1 Rater'!U43</f>
        <v>Insured Plus Spouse</v>
      </c>
      <c r="B28" s="133"/>
      <c r="C28" s="124"/>
      <c r="D28" s="252">
        <f>'OP1 Rater'!BC43</f>
        <v>7.32</v>
      </c>
      <c r="E28" s="249"/>
      <c r="F28" s="252">
        <f>'OP1 Rater'!BD43</f>
        <v>12.16</v>
      </c>
      <c r="G28" s="249"/>
      <c r="H28" s="138"/>
      <c r="I28" s="140">
        <f>'OP1 Rater'!BF43</f>
        <v>3.28</v>
      </c>
      <c r="J28" s="131">
        <f>'OP1 Rater'!BG43</f>
        <v>6.26</v>
      </c>
      <c r="K28" s="131">
        <f>'OP1 Rater'!BH43</f>
        <v>14.03</v>
      </c>
      <c r="L28" s="124"/>
      <c r="M28" s="124"/>
    </row>
    <row r="29" spans="1:13" ht="12.75">
      <c r="A29" s="132" t="str">
        <f>'OP1 Rater'!U44</f>
        <v>Insured Plus Children</v>
      </c>
      <c r="B29" s="133"/>
      <c r="C29" s="124"/>
      <c r="D29" s="252">
        <f>'OP1 Rater'!BC44</f>
        <v>7.72</v>
      </c>
      <c r="E29" s="249"/>
      <c r="F29" s="252">
        <f>'OP1 Rater'!BD44</f>
        <v>14.43</v>
      </c>
      <c r="G29" s="249"/>
      <c r="H29" s="138"/>
      <c r="I29" s="140">
        <f>'OP1 Rater'!BF44</f>
        <v>7.17</v>
      </c>
      <c r="J29" s="131">
        <f>'OP1 Rater'!BG44</f>
        <v>13.68</v>
      </c>
      <c r="K29" s="131">
        <f>'OP1 Rater'!BH44</f>
        <v>30.53</v>
      </c>
      <c r="L29" s="124"/>
      <c r="M29" s="124"/>
    </row>
    <row r="30" spans="1:13" ht="12.75">
      <c r="A30" s="134" t="str">
        <f>'OP1 Rater'!U45</f>
        <v>Insured Plus Family</v>
      </c>
      <c r="B30" s="135"/>
      <c r="C30" s="124"/>
      <c r="D30" s="252">
        <f>'OP1 Rater'!BC45</f>
        <v>9.18</v>
      </c>
      <c r="E30" s="249"/>
      <c r="F30" s="252">
        <f>'OP1 Rater'!BD45</f>
        <v>16.96</v>
      </c>
      <c r="G30" s="249"/>
      <c r="H30" s="138"/>
      <c r="I30" s="140">
        <f>'OP1 Rater'!BF45</f>
        <v>7.97</v>
      </c>
      <c r="J30" s="131">
        <f>'OP1 Rater'!BG45</f>
        <v>15.19</v>
      </c>
      <c r="K30" s="131">
        <f>'OP1 Rater'!BH45</f>
        <v>33.96</v>
      </c>
      <c r="L30" s="124"/>
      <c r="M30" s="124"/>
    </row>
    <row r="31" spans="1:13" ht="12.75">
      <c r="A31" s="124"/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</row>
    <row r="32" spans="1:13" ht="12.75">
      <c r="A32" s="124"/>
      <c r="B32" s="124"/>
      <c r="C32" s="124"/>
      <c r="D32" s="126" t="str">
        <f>'OP1 Rater'!X48</f>
        <v>Insured with Attained Age 50+</v>
      </c>
      <c r="E32" s="124"/>
      <c r="F32" s="124"/>
      <c r="G32" s="124"/>
      <c r="H32" s="124"/>
      <c r="I32" s="124"/>
      <c r="J32" s="124"/>
      <c r="K32" s="124"/>
      <c r="L32" s="124"/>
      <c r="M32" s="124"/>
    </row>
    <row r="33" spans="1:13" ht="6" customHeight="1">
      <c r="A33" s="124"/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</row>
    <row r="34" spans="1:13" ht="12.75">
      <c r="A34" s="124"/>
      <c r="B34" s="124"/>
      <c r="C34" s="124"/>
      <c r="D34" s="245" t="s">
        <v>5</v>
      </c>
      <c r="E34" s="248"/>
      <c r="F34" s="248"/>
      <c r="G34" s="248"/>
      <c r="H34" s="136"/>
      <c r="I34" s="245" t="s">
        <v>5</v>
      </c>
      <c r="J34" s="246"/>
      <c r="K34" s="247"/>
      <c r="L34" s="124"/>
      <c r="M34" s="124"/>
    </row>
    <row r="35" spans="1:13" ht="12.75">
      <c r="A35" s="124"/>
      <c r="B35" s="124"/>
      <c r="C35" s="124"/>
      <c r="D35" s="245" t="s">
        <v>103</v>
      </c>
      <c r="E35" s="249"/>
      <c r="F35" s="246" t="s">
        <v>104</v>
      </c>
      <c r="G35" s="247"/>
      <c r="H35" s="144"/>
      <c r="I35" s="142"/>
      <c r="J35" s="142"/>
      <c r="K35" s="142"/>
      <c r="L35" s="124"/>
      <c r="M35" s="124"/>
    </row>
    <row r="36" spans="1:13" ht="12.75">
      <c r="A36" s="124"/>
      <c r="B36" s="124"/>
      <c r="C36" s="124"/>
      <c r="D36" s="253">
        <f>'OP1 Rater'!BC51</f>
        <v>15</v>
      </c>
      <c r="E36" s="249"/>
      <c r="F36" s="253">
        <f>'OP1 Rater'!BD51</f>
        <v>20</v>
      </c>
      <c r="G36" s="249"/>
      <c r="H36" s="137"/>
      <c r="I36" s="128">
        <f>'OP1 Rater'!BF51</f>
        <v>100</v>
      </c>
      <c r="J36" s="128">
        <f>'OP1 Rater'!BG51</f>
        <v>200</v>
      </c>
      <c r="K36" s="128">
        <f>'OP1 Rater'!BH51</f>
        <v>500</v>
      </c>
      <c r="L36" s="124"/>
      <c r="M36" s="124"/>
    </row>
    <row r="37" spans="1:13" ht="12.75">
      <c r="A37" s="129" t="str">
        <f>'OP1 Rater'!U52</f>
        <v>Insured Only</v>
      </c>
      <c r="B37" s="130"/>
      <c r="C37" s="124"/>
      <c r="D37" s="252">
        <f>'OP1 Rater'!BC52</f>
        <v>10.31</v>
      </c>
      <c r="E37" s="249"/>
      <c r="F37" s="252">
        <f>'OP1 Rater'!BD52</f>
        <v>15.77</v>
      </c>
      <c r="G37" s="249"/>
      <c r="H37" s="138"/>
      <c r="I37" s="131">
        <f>'OP1 Rater'!BF52</f>
        <v>4.23</v>
      </c>
      <c r="J37" s="131">
        <f>'OP1 Rater'!BG52</f>
        <v>8</v>
      </c>
      <c r="K37" s="131">
        <f>'OP1 Rater'!BH52</f>
        <v>17.92</v>
      </c>
      <c r="L37" s="124"/>
      <c r="M37" s="124"/>
    </row>
    <row r="38" spans="1:13" ht="12.75">
      <c r="A38" s="132" t="str">
        <f>'OP1 Rater'!U53</f>
        <v>Insured Plus Spouse</v>
      </c>
      <c r="B38" s="133"/>
      <c r="C38" s="124"/>
      <c r="D38" s="252">
        <f>'OP1 Rater'!BC53</f>
        <v>12.31</v>
      </c>
      <c r="E38" s="249"/>
      <c r="F38" s="252">
        <f>'OP1 Rater'!BD53</f>
        <v>21.46</v>
      </c>
      <c r="G38" s="249"/>
      <c r="H38" s="138"/>
      <c r="I38" s="131">
        <f>'OP1 Rater'!BF53</f>
        <v>5.85</v>
      </c>
      <c r="J38" s="131">
        <f>'OP1 Rater'!BG53</f>
        <v>11.08</v>
      </c>
      <c r="K38" s="131">
        <f>'OP1 Rater'!BH53</f>
        <v>24.69</v>
      </c>
      <c r="L38" s="124"/>
      <c r="M38" s="124"/>
    </row>
    <row r="39" spans="1:13" ht="12.75">
      <c r="A39" s="132" t="str">
        <f>'OP1 Rater'!U54</f>
        <v>Insured Plus Children</v>
      </c>
      <c r="B39" s="133"/>
      <c r="C39" s="124"/>
      <c r="D39" s="252">
        <f>'OP1 Rater'!BC54</f>
        <v>12.92</v>
      </c>
      <c r="E39" s="249"/>
      <c r="F39" s="252">
        <f>'OP1 Rater'!BD54</f>
        <v>22.92</v>
      </c>
      <c r="G39" s="249"/>
      <c r="H39" s="138"/>
      <c r="I39" s="131">
        <f>'OP1 Rater'!BF54</f>
        <v>11.38</v>
      </c>
      <c r="J39" s="131">
        <f>'OP1 Rater'!BG54</f>
        <v>21.69</v>
      </c>
      <c r="K39" s="131">
        <f>'OP1 Rater'!BH54</f>
        <v>48.54</v>
      </c>
      <c r="L39" s="124"/>
      <c r="M39" s="124"/>
    </row>
    <row r="40" spans="1:13" ht="12.75">
      <c r="A40" s="134" t="str">
        <f>'OP1 Rater'!U55</f>
        <v>Insured Plus Family</v>
      </c>
      <c r="B40" s="135"/>
      <c r="C40" s="124"/>
      <c r="D40" s="252">
        <f>'OP1 Rater'!BC55</f>
        <v>14</v>
      </c>
      <c r="E40" s="249"/>
      <c r="F40" s="252">
        <f>'OP1 Rater'!BD55</f>
        <v>25.85</v>
      </c>
      <c r="G40" s="249"/>
      <c r="H40" s="138"/>
      <c r="I40" s="131">
        <f>'OP1 Rater'!BF55</f>
        <v>12.15</v>
      </c>
      <c r="J40" s="131">
        <f>'OP1 Rater'!BG55</f>
        <v>23.15</v>
      </c>
      <c r="K40" s="131">
        <f>'OP1 Rater'!BH55</f>
        <v>51.77</v>
      </c>
      <c r="L40" s="124"/>
      <c r="M40" s="124"/>
    </row>
    <row r="41" spans="1:13" ht="12.75">
      <c r="A41" s="124"/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</row>
    <row r="42" spans="1:13" ht="12.75">
      <c r="A42" s="124"/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</row>
    <row r="43" spans="1:13" ht="12.75">
      <c r="A43" s="125" t="s">
        <v>119</v>
      </c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</row>
    <row r="44" spans="1:13" ht="6" customHeight="1">
      <c r="A44" s="124"/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</row>
    <row r="45" spans="1:13" ht="12.75" customHeight="1">
      <c r="A45" s="124"/>
      <c r="B45" s="124"/>
      <c r="C45" s="124"/>
      <c r="D45" s="126" t="str">
        <f>'OP1 Rater'!CA28</f>
        <v>Insured with Attained Age Under 40</v>
      </c>
      <c r="E45" s="124"/>
      <c r="F45" s="124"/>
      <c r="G45" s="124"/>
      <c r="H45" s="124"/>
      <c r="I45" s="124"/>
      <c r="J45" s="124"/>
      <c r="K45" s="124"/>
      <c r="L45" s="124"/>
      <c r="M45" s="124"/>
    </row>
    <row r="46" spans="1:13" ht="6" customHeight="1">
      <c r="A46" s="124"/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</row>
    <row r="47" spans="1:13" ht="12.75" customHeight="1">
      <c r="A47" s="124"/>
      <c r="B47" s="124"/>
      <c r="C47" s="124"/>
      <c r="D47" s="245" t="s">
        <v>5</v>
      </c>
      <c r="E47" s="248"/>
      <c r="F47" s="248"/>
      <c r="G47" s="248"/>
      <c r="H47" s="136"/>
      <c r="I47" s="245" t="s">
        <v>5</v>
      </c>
      <c r="J47" s="246"/>
      <c r="K47" s="247"/>
      <c r="L47" s="124"/>
      <c r="M47" s="124"/>
    </row>
    <row r="48" spans="1:13" ht="12.75" customHeight="1">
      <c r="A48" s="124"/>
      <c r="B48" s="124"/>
      <c r="C48" s="124"/>
      <c r="D48" s="245" t="s">
        <v>103</v>
      </c>
      <c r="E48" s="249"/>
      <c r="F48" s="246" t="s">
        <v>104</v>
      </c>
      <c r="G48" s="247"/>
      <c r="H48" s="145"/>
      <c r="I48" s="142"/>
      <c r="J48" s="142"/>
      <c r="K48" s="142"/>
      <c r="L48" s="124"/>
      <c r="M48" s="124"/>
    </row>
    <row r="49" spans="1:13" ht="12.75">
      <c r="A49" s="40"/>
      <c r="B49" s="124"/>
      <c r="C49" s="124"/>
      <c r="D49" s="253">
        <f>'OP1 Rater'!DF31</f>
        <v>15</v>
      </c>
      <c r="E49" s="249"/>
      <c r="F49" s="253">
        <f>'OP1 Rater'!DG31</f>
        <v>20</v>
      </c>
      <c r="G49" s="249"/>
      <c r="H49" s="137"/>
      <c r="I49" s="128">
        <f>'OP1 Rater'!DI31</f>
        <v>100</v>
      </c>
      <c r="J49" s="128">
        <f>'OP1 Rater'!DJ31</f>
        <v>200</v>
      </c>
      <c r="K49" s="128">
        <f>'OP1 Rater'!DK31</f>
        <v>500</v>
      </c>
      <c r="L49" s="124"/>
      <c r="M49" s="124"/>
    </row>
    <row r="50" spans="1:13" ht="12.75">
      <c r="A50" s="129" t="str">
        <f>'OP1 Rater'!BX32</f>
        <v>Insured Only</v>
      </c>
      <c r="B50" s="130"/>
      <c r="C50" s="124"/>
      <c r="D50" s="252">
        <f>'OP1 Rater'!DF32</f>
        <v>4.28</v>
      </c>
      <c r="E50" s="249"/>
      <c r="F50" s="252">
        <f>'OP1 Rater'!DG32</f>
        <v>6.57</v>
      </c>
      <c r="G50" s="249"/>
      <c r="H50" s="138"/>
      <c r="I50" s="131">
        <f>'OP1 Rater'!DI32</f>
        <v>1.74</v>
      </c>
      <c r="J50" s="131">
        <f>'OP1 Rater'!DJ32</f>
        <v>3.35</v>
      </c>
      <c r="K50" s="131">
        <f>'OP1 Rater'!DK32</f>
        <v>7.5</v>
      </c>
      <c r="L50" s="124"/>
      <c r="M50" s="124"/>
    </row>
    <row r="51" spans="1:13" ht="12.75">
      <c r="A51" s="132" t="str">
        <f>'OP1 Rater'!BX33</f>
        <v>Insured Plus Spouse</v>
      </c>
      <c r="B51" s="133"/>
      <c r="C51" s="124"/>
      <c r="D51" s="252">
        <f>'OP1 Rater'!DF33</f>
        <v>7.81</v>
      </c>
      <c r="E51" s="249"/>
      <c r="F51" s="252">
        <f>'OP1 Rater'!DG33</f>
        <v>12.9</v>
      </c>
      <c r="G51" s="249"/>
      <c r="H51" s="138"/>
      <c r="I51" s="131">
        <f>'OP1 Rater'!DI33</f>
        <v>3.47</v>
      </c>
      <c r="J51" s="131">
        <f>'OP1 Rater'!DJ33</f>
        <v>6.63</v>
      </c>
      <c r="K51" s="131">
        <f>'OP1 Rater'!DK33</f>
        <v>14.88</v>
      </c>
      <c r="L51" s="124"/>
      <c r="M51" s="124"/>
    </row>
    <row r="52" spans="1:13" ht="12.75">
      <c r="A52" s="132" t="str">
        <f>'OP1 Rater'!BX34</f>
        <v>Insured Plus Children</v>
      </c>
      <c r="B52" s="133"/>
      <c r="C52" s="124"/>
      <c r="D52" s="252">
        <f>'OP1 Rater'!DF34</f>
        <v>9.18</v>
      </c>
      <c r="E52" s="249"/>
      <c r="F52" s="252">
        <f>'OP1 Rater'!DG34</f>
        <v>17.11</v>
      </c>
      <c r="G52" s="249"/>
      <c r="H52" s="138"/>
      <c r="I52" s="131">
        <f>'OP1 Rater'!DI34</f>
        <v>8.49</v>
      </c>
      <c r="J52" s="131">
        <f>'OP1 Rater'!DJ34</f>
        <v>16.18</v>
      </c>
      <c r="K52" s="131">
        <f>'OP1 Rater'!DK34</f>
        <v>36.15</v>
      </c>
      <c r="L52" s="124"/>
      <c r="M52" s="124"/>
    </row>
    <row r="53" spans="1:13" ht="12.75">
      <c r="A53" s="134" t="str">
        <f>'OP1 Rater'!BX35</f>
        <v>Insured Plus Family</v>
      </c>
      <c r="B53" s="135"/>
      <c r="C53" s="124"/>
      <c r="D53" s="252">
        <f>'OP1 Rater'!DF35</f>
        <v>11.28</v>
      </c>
      <c r="E53" s="249"/>
      <c r="F53" s="252">
        <f>'OP1 Rater'!DG35</f>
        <v>20.83</v>
      </c>
      <c r="G53" s="249"/>
      <c r="H53" s="138"/>
      <c r="I53" s="131">
        <f>'OP1 Rater'!DI35</f>
        <v>9.8</v>
      </c>
      <c r="J53" s="131">
        <f>'OP1 Rater'!DJ35</f>
        <v>18.66</v>
      </c>
      <c r="K53" s="131">
        <f>'OP1 Rater'!DK35</f>
        <v>41.73</v>
      </c>
      <c r="L53" s="124"/>
      <c r="M53" s="124"/>
    </row>
    <row r="54" spans="1:13" ht="12.75">
      <c r="A54" s="124"/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</row>
    <row r="55" spans="1:13" ht="12.75">
      <c r="A55" s="124"/>
      <c r="B55" s="124"/>
      <c r="C55" s="124"/>
      <c r="D55" s="126" t="str">
        <f>'OP1 Rater'!CA38</f>
        <v>Insured with Attained Age 40 - 49</v>
      </c>
      <c r="E55" s="124"/>
      <c r="F55" s="124"/>
      <c r="G55" s="124"/>
      <c r="H55" s="124"/>
      <c r="I55" s="124"/>
      <c r="J55" s="124"/>
      <c r="K55" s="124"/>
      <c r="L55" s="124"/>
      <c r="M55" s="124"/>
    </row>
    <row r="56" spans="1:13" ht="6" customHeight="1">
      <c r="A56" s="124"/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</row>
    <row r="57" spans="1:13" ht="12.75">
      <c r="A57" s="124"/>
      <c r="B57" s="124"/>
      <c r="C57" s="124"/>
      <c r="D57" s="245" t="s">
        <v>5</v>
      </c>
      <c r="E57" s="248"/>
      <c r="F57" s="248"/>
      <c r="G57" s="248"/>
      <c r="H57" s="136"/>
      <c r="I57" s="245" t="s">
        <v>5</v>
      </c>
      <c r="J57" s="246"/>
      <c r="K57" s="247"/>
      <c r="L57" s="124"/>
      <c r="M57" s="124"/>
    </row>
    <row r="58" spans="1:13" ht="12.75">
      <c r="A58" s="124"/>
      <c r="B58" s="124"/>
      <c r="C58" s="124"/>
      <c r="D58" s="245" t="s">
        <v>103</v>
      </c>
      <c r="E58" s="249"/>
      <c r="F58" s="246" t="s">
        <v>104</v>
      </c>
      <c r="G58" s="247"/>
      <c r="H58" s="144"/>
      <c r="I58" s="142"/>
      <c r="J58" s="143"/>
      <c r="K58" s="142"/>
      <c r="L58" s="124"/>
      <c r="M58" s="124"/>
    </row>
    <row r="59" spans="1:13" s="2" customFormat="1" ht="11.25">
      <c r="A59" s="124"/>
      <c r="B59" s="124"/>
      <c r="C59" s="124"/>
      <c r="D59" s="253">
        <f>'OP1 Rater'!DF41</f>
        <v>15</v>
      </c>
      <c r="E59" s="254"/>
      <c r="F59" s="253">
        <f>'OP1 Rater'!DG41</f>
        <v>20</v>
      </c>
      <c r="G59" s="254"/>
      <c r="H59" s="137"/>
      <c r="I59" s="139">
        <f>'OP1 Rater'!DI41</f>
        <v>100</v>
      </c>
      <c r="J59" s="128">
        <f>'OP1 Rater'!DJ41</f>
        <v>200</v>
      </c>
      <c r="K59" s="128">
        <f>'OP1 Rater'!DK41</f>
        <v>500</v>
      </c>
      <c r="L59" s="124"/>
      <c r="M59" s="124"/>
    </row>
    <row r="60" spans="1:13" ht="12.75">
      <c r="A60" s="129" t="str">
        <f>'OP1 Rater'!BX42</f>
        <v>Insured Only</v>
      </c>
      <c r="B60" s="130"/>
      <c r="C60" s="124"/>
      <c r="D60" s="252">
        <f>'OP1 Rater'!DF42</f>
        <v>5.41</v>
      </c>
      <c r="E60" s="249"/>
      <c r="F60" s="252">
        <f>'OP1 Rater'!DG42</f>
        <v>8.31</v>
      </c>
      <c r="G60" s="249"/>
      <c r="H60" s="138"/>
      <c r="I60" s="140">
        <f>'OP1 Rater'!DI42</f>
        <v>2.24</v>
      </c>
      <c r="J60" s="131">
        <f>'OP1 Rater'!DJ42</f>
        <v>4.21</v>
      </c>
      <c r="K60" s="131">
        <f>'OP1 Rater'!DK42</f>
        <v>9.46</v>
      </c>
      <c r="L60" s="124"/>
      <c r="M60" s="124"/>
    </row>
    <row r="61" spans="1:13" ht="12.75">
      <c r="A61" s="132" t="str">
        <f>'OP1 Rater'!BX43</f>
        <v>Insured Plus Spouse</v>
      </c>
      <c r="B61" s="133"/>
      <c r="C61" s="124"/>
      <c r="D61" s="252">
        <f>'OP1 Rater'!DF43</f>
        <v>7.93</v>
      </c>
      <c r="E61" s="249"/>
      <c r="F61" s="252">
        <f>'OP1 Rater'!DG43</f>
        <v>13.17</v>
      </c>
      <c r="G61" s="249"/>
      <c r="H61" s="138"/>
      <c r="I61" s="140">
        <f>'OP1 Rater'!DI43</f>
        <v>3.55</v>
      </c>
      <c r="J61" s="131">
        <f>'OP1 Rater'!DJ43</f>
        <v>6.78</v>
      </c>
      <c r="K61" s="131">
        <f>'OP1 Rater'!DK43</f>
        <v>15.2</v>
      </c>
      <c r="L61" s="124"/>
      <c r="M61" s="124"/>
    </row>
    <row r="62" spans="1:13" ht="12.75">
      <c r="A62" s="132" t="str">
        <f>'OP1 Rater'!BX44</f>
        <v>Insured Plus Children</v>
      </c>
      <c r="B62" s="133"/>
      <c r="C62" s="124"/>
      <c r="D62" s="252">
        <f>'OP1 Rater'!DF44</f>
        <v>8.36</v>
      </c>
      <c r="E62" s="249"/>
      <c r="F62" s="252">
        <f>'OP1 Rater'!DG44</f>
        <v>15.63</v>
      </c>
      <c r="G62" s="249"/>
      <c r="H62" s="138"/>
      <c r="I62" s="140">
        <f>'OP1 Rater'!DI44</f>
        <v>7.76</v>
      </c>
      <c r="J62" s="131">
        <f>'OP1 Rater'!DJ44</f>
        <v>14.81</v>
      </c>
      <c r="K62" s="131">
        <f>'OP1 Rater'!DK44</f>
        <v>33.07</v>
      </c>
      <c r="L62" s="124"/>
      <c r="M62" s="124"/>
    </row>
    <row r="63" spans="1:13" ht="12.75">
      <c r="A63" s="134" t="str">
        <f>'OP1 Rater'!BX45</f>
        <v>Insured Plus Family</v>
      </c>
      <c r="B63" s="135"/>
      <c r="C63" s="124"/>
      <c r="D63" s="252">
        <f>'OP1 Rater'!DF45</f>
        <v>9.95</v>
      </c>
      <c r="E63" s="249"/>
      <c r="F63" s="252">
        <f>'OP1 Rater'!DG45</f>
        <v>18.37</v>
      </c>
      <c r="G63" s="249"/>
      <c r="H63" s="138"/>
      <c r="I63" s="140">
        <f>'OP1 Rater'!DI45</f>
        <v>8.64</v>
      </c>
      <c r="J63" s="131">
        <f>'OP1 Rater'!DJ45</f>
        <v>16.45</v>
      </c>
      <c r="K63" s="131">
        <f>'OP1 Rater'!DK45</f>
        <v>36.79</v>
      </c>
      <c r="L63" s="124"/>
      <c r="M63" s="124"/>
    </row>
    <row r="64" spans="1:13" ht="12.75">
      <c r="A64" s="124"/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</row>
    <row r="65" spans="1:13" ht="12.75">
      <c r="A65" s="124"/>
      <c r="B65" s="124"/>
      <c r="C65" s="124"/>
      <c r="D65" s="126" t="str">
        <f>'OP1 Rater'!CA48</f>
        <v>Insured with Attained Age 50+</v>
      </c>
      <c r="E65" s="124"/>
      <c r="F65" s="124"/>
      <c r="G65" s="124"/>
      <c r="H65" s="124"/>
      <c r="I65" s="124"/>
      <c r="J65" s="124"/>
      <c r="K65" s="124"/>
      <c r="L65" s="124"/>
      <c r="M65" s="124"/>
    </row>
    <row r="66" spans="1:13" ht="6" customHeight="1">
      <c r="A66" s="124"/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</row>
    <row r="67" spans="1:13" ht="12.75">
      <c r="A67" s="124"/>
      <c r="B67" s="124"/>
      <c r="C67" s="124"/>
      <c r="D67" s="244" t="s">
        <v>5</v>
      </c>
      <c r="E67" s="256"/>
      <c r="F67" s="256"/>
      <c r="G67" s="256"/>
      <c r="H67" s="136"/>
      <c r="I67" s="244" t="s">
        <v>5</v>
      </c>
      <c r="J67" s="244"/>
      <c r="K67" s="244"/>
      <c r="L67" s="124"/>
      <c r="M67" s="124"/>
    </row>
    <row r="68" spans="1:13" ht="12.75">
      <c r="A68" s="124"/>
      <c r="B68" s="124"/>
      <c r="C68" s="124"/>
      <c r="D68" s="245" t="s">
        <v>103</v>
      </c>
      <c r="E68" s="249"/>
      <c r="F68" s="246" t="s">
        <v>104</v>
      </c>
      <c r="G68" s="247"/>
      <c r="H68" s="144"/>
      <c r="I68" s="142"/>
      <c r="J68" s="142"/>
      <c r="K68" s="142"/>
      <c r="L68" s="124"/>
      <c r="M68" s="124"/>
    </row>
    <row r="69" spans="1:13" ht="12.75">
      <c r="A69" s="40"/>
      <c r="B69" s="124"/>
      <c r="C69" s="124"/>
      <c r="D69" s="257">
        <f>'OP1 Rater'!DF51</f>
        <v>15</v>
      </c>
      <c r="E69" s="256"/>
      <c r="F69" s="257">
        <f>'OP1 Rater'!DG51</f>
        <v>20</v>
      </c>
      <c r="G69" s="256"/>
      <c r="H69" s="137"/>
      <c r="I69" s="128">
        <f>'OP1 Rater'!DI51</f>
        <v>100</v>
      </c>
      <c r="J69" s="128">
        <f>'OP1 Rater'!DJ51</f>
        <v>200</v>
      </c>
      <c r="K69" s="128">
        <f>'OP1 Rater'!DK51</f>
        <v>500</v>
      </c>
      <c r="L69" s="124"/>
      <c r="M69" s="124"/>
    </row>
    <row r="70" spans="1:13" ht="12.75">
      <c r="A70" s="129" t="str">
        <f>'OP1 Rater'!BX52</f>
        <v>Insured Only</v>
      </c>
      <c r="B70" s="130"/>
      <c r="C70" s="124"/>
      <c r="D70" s="255">
        <f>'OP1 Rater'!DF52</f>
        <v>11.17</v>
      </c>
      <c r="E70" s="256"/>
      <c r="F70" s="255">
        <f>'OP1 Rater'!DG52</f>
        <v>17.08</v>
      </c>
      <c r="G70" s="256"/>
      <c r="H70" s="138"/>
      <c r="I70" s="131">
        <f>'OP1 Rater'!DI52</f>
        <v>4.58</v>
      </c>
      <c r="J70" s="131">
        <f>'OP1 Rater'!DJ52</f>
        <v>8.67</v>
      </c>
      <c r="K70" s="131">
        <f>'OP1 Rater'!DK52</f>
        <v>19.42</v>
      </c>
      <c r="L70" s="124"/>
      <c r="M70" s="124"/>
    </row>
    <row r="71" spans="1:13" ht="12.75">
      <c r="A71" s="132" t="str">
        <f>'OP1 Rater'!BX53</f>
        <v>Insured Plus Spouse</v>
      </c>
      <c r="B71" s="133"/>
      <c r="C71" s="124"/>
      <c r="D71" s="255">
        <f>'OP1 Rater'!DF53</f>
        <v>13.33</v>
      </c>
      <c r="E71" s="256"/>
      <c r="F71" s="255">
        <f>'OP1 Rater'!DG53</f>
        <v>23.25</v>
      </c>
      <c r="G71" s="256"/>
      <c r="H71" s="138"/>
      <c r="I71" s="131">
        <f>'OP1 Rater'!DI53</f>
        <v>6.33</v>
      </c>
      <c r="J71" s="131">
        <f>'OP1 Rater'!DJ53</f>
        <v>12</v>
      </c>
      <c r="K71" s="131">
        <f>'OP1 Rater'!DK53</f>
        <v>26.75</v>
      </c>
      <c r="L71" s="124"/>
      <c r="M71" s="124"/>
    </row>
    <row r="72" spans="1:13" ht="12.75">
      <c r="A72" s="132" t="str">
        <f>'OP1 Rater'!BX54</f>
        <v>Insured Plus Children</v>
      </c>
      <c r="B72" s="133"/>
      <c r="C72" s="124"/>
      <c r="D72" s="255">
        <f>'OP1 Rater'!DF54</f>
        <v>14</v>
      </c>
      <c r="E72" s="256"/>
      <c r="F72" s="255">
        <f>'OP1 Rater'!DG54</f>
        <v>24.83</v>
      </c>
      <c r="G72" s="256"/>
      <c r="H72" s="138"/>
      <c r="I72" s="131">
        <f>'OP1 Rater'!DI54</f>
        <v>12.33</v>
      </c>
      <c r="J72" s="131">
        <f>'OP1 Rater'!DJ54</f>
        <v>23.5</v>
      </c>
      <c r="K72" s="131">
        <f>'OP1 Rater'!DK54</f>
        <v>52.58</v>
      </c>
      <c r="L72" s="124"/>
      <c r="M72" s="124"/>
    </row>
    <row r="73" spans="1:13" ht="12.75">
      <c r="A73" s="134" t="str">
        <f>'OP1 Rater'!BX55</f>
        <v>Insured Plus Family</v>
      </c>
      <c r="B73" s="135"/>
      <c r="C73" s="124"/>
      <c r="D73" s="255">
        <f>'OP1 Rater'!DF55</f>
        <v>15.17</v>
      </c>
      <c r="E73" s="256"/>
      <c r="F73" s="255">
        <f>'OP1 Rater'!DG55</f>
        <v>28</v>
      </c>
      <c r="G73" s="256"/>
      <c r="H73" s="138"/>
      <c r="I73" s="131">
        <f>'OP1 Rater'!DI55</f>
        <v>13.17</v>
      </c>
      <c r="J73" s="131">
        <f>'OP1 Rater'!DJ55</f>
        <v>25.08</v>
      </c>
      <c r="K73" s="131">
        <f>'OP1 Rater'!DK55</f>
        <v>56.08</v>
      </c>
      <c r="L73" s="124"/>
      <c r="M73" s="124"/>
    </row>
    <row r="74" spans="1:13" ht="12.75">
      <c r="A74" s="124"/>
      <c r="B74" s="124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</row>
    <row r="75" spans="1:13" ht="12.75">
      <c r="A75" s="124"/>
      <c r="B75" s="124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</row>
    <row r="76" spans="1:13" ht="12.75">
      <c r="A76" s="125" t="str">
        <f>'OP1 Rater'!EC24</f>
        <v>TEXAS</v>
      </c>
      <c r="B76" s="124"/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</row>
    <row r="77" spans="1:13" ht="6" customHeight="1">
      <c r="A77" s="124"/>
      <c r="B77" s="124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</row>
    <row r="78" spans="1:13" ht="12.75">
      <c r="A78" s="124"/>
      <c r="B78" s="124"/>
      <c r="C78" s="124"/>
      <c r="D78" s="126" t="str">
        <f>'OP1 Rater'!EF28</f>
        <v>Insured with Attained Age Under 40</v>
      </c>
      <c r="E78" s="124"/>
      <c r="F78" s="124"/>
      <c r="G78" s="124"/>
      <c r="H78" s="124"/>
      <c r="I78" s="124"/>
      <c r="J78" s="124"/>
      <c r="K78" s="124"/>
      <c r="L78" s="124"/>
      <c r="M78" s="124"/>
    </row>
    <row r="79" spans="1:13" ht="12.75">
      <c r="A79" s="124"/>
      <c r="B79" s="124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</row>
    <row r="80" spans="1:13" ht="12.75">
      <c r="A80" s="124"/>
      <c r="B80" s="124"/>
      <c r="C80" s="124"/>
      <c r="D80" s="245" t="s">
        <v>5</v>
      </c>
      <c r="E80" s="248"/>
      <c r="F80" s="248"/>
      <c r="G80" s="248"/>
      <c r="H80" s="136"/>
      <c r="I80" s="247" t="s">
        <v>5</v>
      </c>
      <c r="J80" s="244"/>
      <c r="K80" s="244"/>
      <c r="L80" s="124"/>
      <c r="M80" s="124"/>
    </row>
    <row r="81" spans="1:13" ht="12.75">
      <c r="A81" s="124"/>
      <c r="B81" s="124"/>
      <c r="C81" s="124"/>
      <c r="D81" s="245" t="s">
        <v>103</v>
      </c>
      <c r="E81" s="249"/>
      <c r="F81" s="246" t="s">
        <v>104</v>
      </c>
      <c r="G81" s="246"/>
      <c r="H81" s="144"/>
      <c r="I81" s="142"/>
      <c r="J81" s="142"/>
      <c r="K81" s="142"/>
      <c r="L81" s="124"/>
      <c r="M81" s="124"/>
    </row>
    <row r="82" spans="1:13" ht="12.75">
      <c r="A82" s="40"/>
      <c r="B82" s="124"/>
      <c r="C82" s="124"/>
      <c r="D82" s="253">
        <f>'OP1 Rater'!FK31</f>
        <v>15</v>
      </c>
      <c r="E82" s="249"/>
      <c r="F82" s="253">
        <f>'OP1 Rater'!FL31</f>
        <v>20</v>
      </c>
      <c r="G82" s="249"/>
      <c r="H82" s="137"/>
      <c r="I82" s="139">
        <f>'OP1 Rater'!FN31</f>
        <v>100</v>
      </c>
      <c r="J82" s="128">
        <f>'OP1 Rater'!FO31</f>
        <v>200</v>
      </c>
      <c r="K82" s="128">
        <f>'OP1 Rater'!FP31</f>
        <v>500</v>
      </c>
      <c r="L82" s="124"/>
      <c r="M82" s="124"/>
    </row>
    <row r="83" spans="1:13" ht="12.75">
      <c r="A83" s="129" t="str">
        <f>'OP1 Rater'!EC32</f>
        <v>Insured Only</v>
      </c>
      <c r="B83" s="130"/>
      <c r="C83" s="124"/>
      <c r="D83" s="252">
        <f>'OP1 Rater'!FK32</f>
        <v>4.9</v>
      </c>
      <c r="E83" s="249"/>
      <c r="F83" s="252">
        <f>'OP1 Rater'!FL32</f>
        <v>7.53</v>
      </c>
      <c r="G83" s="249"/>
      <c r="H83" s="138"/>
      <c r="I83" s="140">
        <f>'OP1 Rater'!FN32</f>
        <v>1.99</v>
      </c>
      <c r="J83" s="131">
        <f>'OP1 Rater'!FO32</f>
        <v>3.83</v>
      </c>
      <c r="K83" s="131">
        <f>'OP1 Rater'!FP32</f>
        <v>8.59</v>
      </c>
      <c r="L83" s="124"/>
      <c r="M83" s="124"/>
    </row>
    <row r="84" spans="1:13" ht="12.75">
      <c r="A84" s="132" t="str">
        <f>'OP1 Rater'!EC33</f>
        <v>Insured Plus Spouse</v>
      </c>
      <c r="B84" s="133"/>
      <c r="C84" s="124"/>
      <c r="D84" s="252">
        <f>'OP1 Rater'!FK33</f>
        <v>8.95</v>
      </c>
      <c r="E84" s="249"/>
      <c r="F84" s="252">
        <f>'OP1 Rater'!FL33</f>
        <v>14.77</v>
      </c>
      <c r="G84" s="249"/>
      <c r="H84" s="138"/>
      <c r="I84" s="140">
        <f>'OP1 Rater'!FN33</f>
        <v>3.98</v>
      </c>
      <c r="J84" s="131">
        <f>'OP1 Rater'!FO33</f>
        <v>7.6</v>
      </c>
      <c r="K84" s="131">
        <f>'OP1 Rater'!FP33</f>
        <v>17.04</v>
      </c>
      <c r="L84" s="124"/>
      <c r="M84" s="124"/>
    </row>
    <row r="85" spans="1:13" ht="12.75">
      <c r="A85" s="132" t="str">
        <f>'OP1 Rater'!EC34</f>
        <v>Insured Plus Children</v>
      </c>
      <c r="B85" s="133"/>
      <c r="C85" s="124"/>
      <c r="D85" s="252">
        <f>'OP1 Rater'!FK34</f>
        <v>10.51</v>
      </c>
      <c r="E85" s="249"/>
      <c r="F85" s="252">
        <f>'OP1 Rater'!FL34</f>
        <v>19.6</v>
      </c>
      <c r="G85" s="249"/>
      <c r="H85" s="138"/>
      <c r="I85" s="140">
        <f>'OP1 Rater'!FN34</f>
        <v>9.73</v>
      </c>
      <c r="J85" s="131">
        <f>'OP1 Rater'!FO34</f>
        <v>18.54</v>
      </c>
      <c r="K85" s="131">
        <f>'OP1 Rater'!FP34</f>
        <v>41.4</v>
      </c>
      <c r="L85" s="124"/>
      <c r="M85" s="124"/>
    </row>
    <row r="86" spans="1:13" ht="12.75">
      <c r="A86" s="134" t="str">
        <f>'OP1 Rater'!EC35</f>
        <v>Insured Plus Family</v>
      </c>
      <c r="B86" s="135"/>
      <c r="C86" s="124"/>
      <c r="D86" s="252">
        <f>'OP1 Rater'!FK35</f>
        <v>12.93</v>
      </c>
      <c r="E86" s="249"/>
      <c r="F86" s="252">
        <f>'OP1 Rater'!FL35</f>
        <v>23.86</v>
      </c>
      <c r="G86" s="249"/>
      <c r="H86" s="138"/>
      <c r="I86" s="140">
        <f>'OP1 Rater'!FN35</f>
        <v>11.22</v>
      </c>
      <c r="J86" s="131">
        <f>'OP1 Rater'!FO35</f>
        <v>21.38</v>
      </c>
      <c r="K86" s="131">
        <f>'OP1 Rater'!FP35</f>
        <v>47.8</v>
      </c>
      <c r="L86" s="124"/>
      <c r="M86" s="124"/>
    </row>
    <row r="87" spans="1:13" ht="12.75">
      <c r="A87" s="124"/>
      <c r="B87" s="124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4"/>
    </row>
    <row r="88" spans="1:13" ht="12.75">
      <c r="A88" s="124"/>
      <c r="B88" s="124"/>
      <c r="C88" s="124"/>
      <c r="D88" s="126" t="str">
        <f>'OP1 Rater'!EF38</f>
        <v>Insured with Attained Age 40 - 49</v>
      </c>
      <c r="E88" s="124"/>
      <c r="F88" s="124"/>
      <c r="G88" s="124"/>
      <c r="H88" s="124"/>
      <c r="I88" s="124"/>
      <c r="J88" s="124"/>
      <c r="K88" s="124"/>
      <c r="L88" s="124"/>
      <c r="M88" s="124"/>
    </row>
    <row r="89" spans="1:13" ht="6" customHeight="1">
      <c r="A89" s="124"/>
      <c r="B89" s="124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</row>
    <row r="90" spans="1:13" ht="12.75">
      <c r="A90" s="124"/>
      <c r="B90" s="124"/>
      <c r="C90" s="124"/>
      <c r="D90" s="245" t="s">
        <v>5</v>
      </c>
      <c r="E90" s="248"/>
      <c r="F90" s="248"/>
      <c r="G90" s="248"/>
      <c r="H90" s="136"/>
      <c r="I90" s="247" t="s">
        <v>5</v>
      </c>
      <c r="J90" s="244"/>
      <c r="K90" s="244"/>
      <c r="L90" s="124"/>
      <c r="M90" s="124"/>
    </row>
    <row r="91" spans="1:13" ht="12.75">
      <c r="A91" s="124"/>
      <c r="B91" s="124"/>
      <c r="C91" s="124"/>
      <c r="D91" s="245" t="s">
        <v>103</v>
      </c>
      <c r="E91" s="249"/>
      <c r="F91" s="246" t="s">
        <v>104</v>
      </c>
      <c r="G91" s="246"/>
      <c r="H91" s="144"/>
      <c r="I91" s="141"/>
      <c r="J91" s="142"/>
      <c r="K91" s="142"/>
      <c r="L91" s="124"/>
      <c r="M91" s="124"/>
    </row>
    <row r="92" spans="1:13" ht="12.75">
      <c r="A92" s="40"/>
      <c r="B92" s="124"/>
      <c r="C92" s="124"/>
      <c r="D92" s="253">
        <f>'OP1 Rater'!FK41</f>
        <v>15</v>
      </c>
      <c r="E92" s="249"/>
      <c r="F92" s="253">
        <f>'OP1 Rater'!FL41</f>
        <v>20</v>
      </c>
      <c r="G92" s="248"/>
      <c r="H92" s="137"/>
      <c r="I92" s="139">
        <f>'OP1 Rater'!FN41</f>
        <v>100</v>
      </c>
      <c r="J92" s="128">
        <f>'OP1 Rater'!FO41</f>
        <v>200</v>
      </c>
      <c r="K92" s="128">
        <f>'OP1 Rater'!FP41</f>
        <v>500</v>
      </c>
      <c r="L92" s="124"/>
      <c r="M92" s="124"/>
    </row>
    <row r="93" spans="1:13" ht="12.75">
      <c r="A93" s="129" t="str">
        <f>'OP1 Rater'!BX32</f>
        <v>Insured Only</v>
      </c>
      <c r="B93" s="130"/>
      <c r="C93" s="124"/>
      <c r="D93" s="252">
        <f>'OP1 Rater'!FK42</f>
        <v>6.2</v>
      </c>
      <c r="E93" s="249"/>
      <c r="F93" s="252">
        <f>'OP1 Rater'!FL42</f>
        <v>9.52</v>
      </c>
      <c r="G93" s="248"/>
      <c r="H93" s="138"/>
      <c r="I93" s="140">
        <f>'OP1 Rater'!FN42</f>
        <v>2.57</v>
      </c>
      <c r="J93" s="131">
        <f>'OP1 Rater'!FO42</f>
        <v>4.82</v>
      </c>
      <c r="K93" s="131">
        <f>'OP1 Rater'!FP42</f>
        <v>10.83</v>
      </c>
      <c r="L93" s="124"/>
      <c r="M93" s="124"/>
    </row>
    <row r="94" spans="1:13" ht="12.75">
      <c r="A94" s="132" t="str">
        <f>'OP1 Rater'!BX33</f>
        <v>Insured Plus Spouse</v>
      </c>
      <c r="B94" s="133"/>
      <c r="C94" s="124"/>
      <c r="D94" s="252">
        <f>'OP1 Rater'!FK43</f>
        <v>9.08</v>
      </c>
      <c r="E94" s="249"/>
      <c r="F94" s="252">
        <f>'OP1 Rater'!FL43</f>
        <v>15.09</v>
      </c>
      <c r="G94" s="248"/>
      <c r="H94" s="138"/>
      <c r="I94" s="140">
        <f>'OP1 Rater'!FN43</f>
        <v>4.07</v>
      </c>
      <c r="J94" s="131">
        <f>'OP1 Rater'!FO43</f>
        <v>7.76</v>
      </c>
      <c r="K94" s="131">
        <f>'OP1 Rater'!FP43</f>
        <v>17.41</v>
      </c>
      <c r="L94" s="124"/>
      <c r="M94" s="124"/>
    </row>
    <row r="95" spans="1:13" ht="12.75">
      <c r="A95" s="132" t="str">
        <f>'OP1 Rater'!BX34</f>
        <v>Insured Plus Children</v>
      </c>
      <c r="B95" s="133"/>
      <c r="C95" s="124"/>
      <c r="D95" s="252">
        <f>'OP1 Rater'!FK44</f>
        <v>9.58</v>
      </c>
      <c r="E95" s="249"/>
      <c r="F95" s="252">
        <f>'OP1 Rater'!FL44</f>
        <v>17.91</v>
      </c>
      <c r="G95" s="248"/>
      <c r="H95" s="138"/>
      <c r="I95" s="140">
        <f>'OP1 Rater'!FN44</f>
        <v>8.89</v>
      </c>
      <c r="J95" s="131">
        <f>'OP1 Rater'!FO44</f>
        <v>16.97</v>
      </c>
      <c r="K95" s="131">
        <f>'OP1 Rater'!FP44</f>
        <v>37.88</v>
      </c>
      <c r="L95" s="124"/>
      <c r="M95" s="124"/>
    </row>
    <row r="96" spans="1:13" ht="12.75">
      <c r="A96" s="134" t="str">
        <f>'OP1 Rater'!BX35</f>
        <v>Insured Plus Family</v>
      </c>
      <c r="B96" s="135"/>
      <c r="C96" s="124"/>
      <c r="D96" s="252">
        <f>'OP1 Rater'!FK45</f>
        <v>11.4</v>
      </c>
      <c r="E96" s="249"/>
      <c r="F96" s="252">
        <f>'OP1 Rater'!FL45</f>
        <v>21.04</v>
      </c>
      <c r="G96" s="248"/>
      <c r="H96" s="138"/>
      <c r="I96" s="140">
        <f>'OP1 Rater'!FN45</f>
        <v>9.89</v>
      </c>
      <c r="J96" s="131">
        <f>'OP1 Rater'!FO45</f>
        <v>18.85</v>
      </c>
      <c r="K96" s="131">
        <f>'OP1 Rater'!FP45</f>
        <v>42.14</v>
      </c>
      <c r="L96" s="124"/>
      <c r="M96" s="124"/>
    </row>
    <row r="97" spans="1:13" ht="12.75">
      <c r="A97" s="124"/>
      <c r="B97" s="124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</row>
    <row r="98" spans="1:13" ht="12.75">
      <c r="A98" s="124"/>
      <c r="B98" s="124"/>
      <c r="C98" s="124"/>
      <c r="D98" s="126" t="str">
        <f>'OP1 Rater'!EF48</f>
        <v>Insured with Attained Age 50+</v>
      </c>
      <c r="E98" s="124"/>
      <c r="F98" s="124"/>
      <c r="G98" s="124"/>
      <c r="H98" s="124"/>
      <c r="I98" s="124"/>
      <c r="J98" s="124"/>
      <c r="K98" s="124"/>
      <c r="L98" s="124"/>
      <c r="M98" s="124"/>
    </row>
    <row r="99" spans="1:13" ht="6" customHeight="1">
      <c r="A99" s="124"/>
      <c r="B99" s="124"/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24"/>
    </row>
    <row r="100" spans="1:13" ht="12.75">
      <c r="A100" s="124"/>
      <c r="B100" s="124"/>
      <c r="C100" s="124"/>
      <c r="D100" s="245" t="s">
        <v>5</v>
      </c>
      <c r="E100" s="248"/>
      <c r="F100" s="248"/>
      <c r="G100" s="248"/>
      <c r="H100" s="136"/>
      <c r="I100" s="247" t="s">
        <v>5</v>
      </c>
      <c r="J100" s="244"/>
      <c r="K100" s="244"/>
      <c r="L100" s="124"/>
      <c r="M100" s="124"/>
    </row>
    <row r="101" spans="1:13" ht="12.75">
      <c r="A101" s="124"/>
      <c r="B101" s="124"/>
      <c r="C101" s="124"/>
      <c r="D101" s="245" t="s">
        <v>103</v>
      </c>
      <c r="E101" s="249"/>
      <c r="F101" s="246" t="s">
        <v>104</v>
      </c>
      <c r="G101" s="246"/>
      <c r="H101" s="144"/>
      <c r="I101" s="141"/>
      <c r="J101" s="142"/>
      <c r="K101" s="142"/>
      <c r="L101" s="124"/>
      <c r="M101" s="124"/>
    </row>
    <row r="102" spans="1:13" ht="12.75">
      <c r="A102" s="40"/>
      <c r="B102" s="124"/>
      <c r="C102" s="124"/>
      <c r="D102" s="253">
        <f>'OP1 Rater'!FK51</f>
        <v>15</v>
      </c>
      <c r="E102" s="249"/>
      <c r="F102" s="253">
        <f>'OP1 Rater'!FL51</f>
        <v>20</v>
      </c>
      <c r="G102" s="249"/>
      <c r="H102" s="137"/>
      <c r="I102" s="139">
        <f>'OP1 Rater'!FN51</f>
        <v>100</v>
      </c>
      <c r="J102" s="128">
        <f>'OP1 Rater'!FO51</f>
        <v>200</v>
      </c>
      <c r="K102" s="128">
        <f>'OP1 Rater'!FP51</f>
        <v>500</v>
      </c>
      <c r="L102" s="124"/>
      <c r="M102" s="124"/>
    </row>
    <row r="103" spans="1:13" ht="12.75">
      <c r="A103" s="129" t="str">
        <f>'OP1 Rater'!EC52</f>
        <v>Insured Only</v>
      </c>
      <c r="B103" s="130"/>
      <c r="C103" s="124"/>
      <c r="D103" s="252">
        <f>'OP1 Rater'!FK52</f>
        <v>12.79</v>
      </c>
      <c r="E103" s="249"/>
      <c r="F103" s="252">
        <f>'OP1 Rater'!FL52</f>
        <v>19.57</v>
      </c>
      <c r="G103" s="249"/>
      <c r="H103" s="138"/>
      <c r="I103" s="140">
        <f>'OP1 Rater'!FN52</f>
        <v>5.25</v>
      </c>
      <c r="J103" s="131">
        <f>'OP1 Rater'!FO52</f>
        <v>9.93</v>
      </c>
      <c r="K103" s="131">
        <f>'OP1 Rater'!FP52</f>
        <v>22.24</v>
      </c>
      <c r="L103" s="124"/>
      <c r="M103" s="124"/>
    </row>
    <row r="104" spans="1:13" ht="12.75">
      <c r="A104" s="132" t="str">
        <f>'OP1 Rater'!EC53</f>
        <v>Insured Plus Spouse</v>
      </c>
      <c r="B104" s="133"/>
      <c r="C104" s="124"/>
      <c r="D104" s="252">
        <f>'OP1 Rater'!FK53</f>
        <v>15.27</v>
      </c>
      <c r="E104" s="249"/>
      <c r="F104" s="252">
        <f>'OP1 Rater'!FL53</f>
        <v>26.63</v>
      </c>
      <c r="G104" s="249"/>
      <c r="H104" s="138"/>
      <c r="I104" s="140">
        <f>'OP1 Rater'!FN53</f>
        <v>7.25</v>
      </c>
      <c r="J104" s="131">
        <f>'OP1 Rater'!FO53</f>
        <v>13.75</v>
      </c>
      <c r="K104" s="131">
        <f>'OP1 Rater'!FP53</f>
        <v>30.64</v>
      </c>
      <c r="L104" s="124"/>
      <c r="M104" s="124"/>
    </row>
    <row r="105" spans="1:13" ht="12.75">
      <c r="A105" s="132" t="str">
        <f>'OP1 Rater'!EC54</f>
        <v>Insured Plus Children</v>
      </c>
      <c r="B105" s="133"/>
      <c r="C105" s="124"/>
      <c r="D105" s="252">
        <f>'OP1 Rater'!FK54</f>
        <v>16.04</v>
      </c>
      <c r="E105" s="249"/>
      <c r="F105" s="252">
        <f>'OP1 Rater'!FL54</f>
        <v>28.45</v>
      </c>
      <c r="G105" s="249"/>
      <c r="H105" s="138"/>
      <c r="I105" s="140">
        <f>'OP1 Rater'!FN54</f>
        <v>14.13</v>
      </c>
      <c r="J105" s="131">
        <f>'OP1 Rater'!FO54</f>
        <v>26.92</v>
      </c>
      <c r="K105" s="131">
        <f>'OP1 Rater'!FP54</f>
        <v>60.23</v>
      </c>
      <c r="L105" s="124"/>
      <c r="M105" s="124"/>
    </row>
    <row r="106" spans="1:13" ht="12.75">
      <c r="A106" s="134" t="str">
        <f>'OP1 Rater'!EC55</f>
        <v>Insured Plus Family</v>
      </c>
      <c r="B106" s="135"/>
      <c r="C106" s="124"/>
      <c r="D106" s="252">
        <f>'OP1 Rater'!FK55</f>
        <v>17.37</v>
      </c>
      <c r="E106" s="249"/>
      <c r="F106" s="252">
        <f>'OP1 Rater'!FL55</f>
        <v>32.07</v>
      </c>
      <c r="G106" s="249"/>
      <c r="H106" s="138"/>
      <c r="I106" s="140">
        <f>'OP1 Rater'!FN55</f>
        <v>15.08</v>
      </c>
      <c r="J106" s="131">
        <f>'OP1 Rater'!FO55</f>
        <v>28.73</v>
      </c>
      <c r="K106" s="131">
        <f>'OP1 Rater'!FP55</f>
        <v>64.24</v>
      </c>
      <c r="L106" s="124"/>
      <c r="M106" s="124"/>
    </row>
    <row r="107" spans="1:13" ht="12.75">
      <c r="A107" s="124"/>
      <c r="B107" s="124"/>
      <c r="C107" s="124"/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</row>
    <row r="108" spans="1:13" ht="12.75">
      <c r="A108" s="124"/>
      <c r="B108" s="124"/>
      <c r="C108" s="124"/>
      <c r="D108" s="124"/>
      <c r="E108" s="124"/>
      <c r="F108" s="124"/>
      <c r="G108" s="124"/>
      <c r="H108" s="124"/>
      <c r="I108" s="124"/>
      <c r="J108" s="124"/>
      <c r="K108" s="124"/>
      <c r="L108" s="124"/>
      <c r="M108" s="124"/>
    </row>
    <row r="109" spans="1:13" ht="12.75">
      <c r="A109" s="125" t="str">
        <f>'OP1 Rater'!GG24</f>
        <v>ALL OTHER STATES</v>
      </c>
      <c r="B109" s="124"/>
      <c r="C109" s="124"/>
      <c r="D109" s="124"/>
      <c r="E109" s="124"/>
      <c r="F109" s="124"/>
      <c r="G109" s="124"/>
      <c r="H109" s="124"/>
      <c r="I109" s="124"/>
      <c r="J109" s="124"/>
      <c r="K109" s="124"/>
      <c r="L109" s="124"/>
      <c r="M109" s="124"/>
    </row>
    <row r="110" spans="1:13" ht="6" customHeight="1">
      <c r="A110" s="124"/>
      <c r="B110" s="124"/>
      <c r="C110" s="124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</row>
    <row r="111" spans="1:13" ht="12.75">
      <c r="A111" s="124"/>
      <c r="B111" s="124"/>
      <c r="C111" s="124"/>
      <c r="D111" s="126" t="str">
        <f>'OP1 Rater'!GJ28</f>
        <v>Insured with Attained Age Under 40</v>
      </c>
      <c r="E111" s="124"/>
      <c r="F111" s="124"/>
      <c r="G111" s="124"/>
      <c r="H111" s="124"/>
      <c r="I111" s="124"/>
      <c r="J111" s="124"/>
      <c r="K111" s="124"/>
      <c r="L111" s="124"/>
      <c r="M111" s="124"/>
    </row>
    <row r="112" spans="1:13" ht="6" customHeight="1">
      <c r="A112" s="124"/>
      <c r="B112" s="124"/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</row>
    <row r="113" spans="1:13" ht="12.75">
      <c r="A113" s="124"/>
      <c r="B113" s="124"/>
      <c r="C113" s="124"/>
      <c r="D113" s="245" t="s">
        <v>5</v>
      </c>
      <c r="E113" s="248"/>
      <c r="F113" s="248"/>
      <c r="G113" s="248"/>
      <c r="H113" s="136"/>
      <c r="I113" s="247" t="s">
        <v>5</v>
      </c>
      <c r="J113" s="244"/>
      <c r="K113" s="244"/>
      <c r="L113" s="124"/>
      <c r="M113" s="124"/>
    </row>
    <row r="114" spans="1:13" ht="12.75">
      <c r="A114" s="124"/>
      <c r="B114" s="124"/>
      <c r="C114" s="124"/>
      <c r="D114" s="245" t="s">
        <v>103</v>
      </c>
      <c r="E114" s="249"/>
      <c r="F114" s="246" t="s">
        <v>104</v>
      </c>
      <c r="G114" s="246"/>
      <c r="H114" s="144"/>
      <c r="I114" s="141"/>
      <c r="J114" s="142"/>
      <c r="K114" s="142"/>
      <c r="L114" s="124"/>
      <c r="M114" s="124"/>
    </row>
    <row r="115" spans="1:13" ht="12.75">
      <c r="A115" s="40"/>
      <c r="B115" s="124"/>
      <c r="C115" s="124"/>
      <c r="D115" s="253">
        <f>'OP1 Rater'!HO31</f>
        <v>15</v>
      </c>
      <c r="E115" s="249"/>
      <c r="F115" s="253">
        <f>'OP1 Rater'!HP31</f>
        <v>20</v>
      </c>
      <c r="G115" s="249"/>
      <c r="H115" s="137"/>
      <c r="I115" s="139">
        <f>'OP1 Rater'!HR31</f>
        <v>100</v>
      </c>
      <c r="J115" s="128">
        <f>'OP1 Rater'!HS31</f>
        <v>200</v>
      </c>
      <c r="K115" s="128">
        <f>'OP1 Rater'!HT31</f>
        <v>500</v>
      </c>
      <c r="L115" s="124"/>
      <c r="M115" s="124"/>
    </row>
    <row r="116" spans="1:13" ht="12.75">
      <c r="A116" s="129" t="str">
        <f>'OP1 Rater'!GG32</f>
        <v>Insured Only</v>
      </c>
      <c r="B116" s="130"/>
      <c r="C116" s="124"/>
      <c r="D116" s="252">
        <f>'OP1 Rater'!HO32</f>
        <v>4.9</v>
      </c>
      <c r="E116" s="249"/>
      <c r="F116" s="252">
        <f>'OP1 Rater'!HP32</f>
        <v>7.53</v>
      </c>
      <c r="G116" s="249"/>
      <c r="H116" s="138"/>
      <c r="I116" s="140">
        <f>'OP1 Rater'!HR32</f>
        <v>1.99</v>
      </c>
      <c r="J116" s="131">
        <f>'OP1 Rater'!HS32</f>
        <v>3.83</v>
      </c>
      <c r="K116" s="131">
        <f>'OP1 Rater'!HT32</f>
        <v>8.59</v>
      </c>
      <c r="L116" s="124"/>
      <c r="M116" s="124"/>
    </row>
    <row r="117" spans="1:13" ht="12.75">
      <c r="A117" s="132" t="str">
        <f>'OP1 Rater'!GG33</f>
        <v>Insured Plus Spouse</v>
      </c>
      <c r="B117" s="133"/>
      <c r="C117" s="124"/>
      <c r="D117" s="252">
        <f>'OP1 Rater'!HO33</f>
        <v>8.95</v>
      </c>
      <c r="E117" s="249"/>
      <c r="F117" s="252">
        <f>'OP1 Rater'!HP33</f>
        <v>14.77</v>
      </c>
      <c r="G117" s="249"/>
      <c r="H117" s="138"/>
      <c r="I117" s="140">
        <f>'OP1 Rater'!HR33</f>
        <v>3.98</v>
      </c>
      <c r="J117" s="131">
        <f>'OP1 Rater'!HS33</f>
        <v>7.6</v>
      </c>
      <c r="K117" s="131">
        <f>'OP1 Rater'!HT33</f>
        <v>17.04</v>
      </c>
      <c r="L117" s="124"/>
      <c r="M117" s="124"/>
    </row>
    <row r="118" spans="1:13" ht="12.75">
      <c r="A118" s="132" t="str">
        <f>'OP1 Rater'!GG34</f>
        <v>Insured Plus Children</v>
      </c>
      <c r="B118" s="133"/>
      <c r="C118" s="124"/>
      <c r="D118" s="252">
        <f>'OP1 Rater'!HO34</f>
        <v>10.51</v>
      </c>
      <c r="E118" s="249"/>
      <c r="F118" s="252">
        <f>'OP1 Rater'!HP34</f>
        <v>19.6</v>
      </c>
      <c r="G118" s="249"/>
      <c r="H118" s="138"/>
      <c r="I118" s="140">
        <f>'OP1 Rater'!HR34</f>
        <v>9.73</v>
      </c>
      <c r="J118" s="131">
        <f>'OP1 Rater'!HS34</f>
        <v>18.54</v>
      </c>
      <c r="K118" s="131">
        <f>'OP1 Rater'!HT34</f>
        <v>41.4</v>
      </c>
      <c r="L118" s="124"/>
      <c r="M118" s="124"/>
    </row>
    <row r="119" spans="1:13" ht="12.75">
      <c r="A119" s="134" t="str">
        <f>'OP1 Rater'!GG35</f>
        <v>Insured Plus Family</v>
      </c>
      <c r="B119" s="135"/>
      <c r="C119" s="124"/>
      <c r="D119" s="252">
        <f>'OP1 Rater'!HO35</f>
        <v>12.93</v>
      </c>
      <c r="E119" s="249"/>
      <c r="F119" s="252">
        <f>'OP1 Rater'!HP35</f>
        <v>23.86</v>
      </c>
      <c r="G119" s="249"/>
      <c r="H119" s="138"/>
      <c r="I119" s="140">
        <f>'OP1 Rater'!HR35</f>
        <v>11.22</v>
      </c>
      <c r="J119" s="131">
        <f>'OP1 Rater'!HS35</f>
        <v>21.38</v>
      </c>
      <c r="K119" s="131">
        <f>'OP1 Rater'!HT35</f>
        <v>47.8</v>
      </c>
      <c r="L119" s="124"/>
      <c r="M119" s="124"/>
    </row>
    <row r="120" spans="1:13" ht="12.75">
      <c r="A120" s="124"/>
      <c r="B120" s="124"/>
      <c r="C120" s="124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</row>
    <row r="121" spans="1:13" ht="12.75">
      <c r="A121" s="124"/>
      <c r="B121" s="124"/>
      <c r="C121" s="124"/>
      <c r="D121" s="126" t="str">
        <f>'OP1 Rater'!GJ38</f>
        <v>Insured with Attained Age 40 - 49</v>
      </c>
      <c r="E121" s="124"/>
      <c r="F121" s="124"/>
      <c r="G121" s="124"/>
      <c r="H121" s="124"/>
      <c r="I121" s="124"/>
      <c r="J121" s="124"/>
      <c r="K121" s="124"/>
      <c r="L121" s="124"/>
      <c r="M121" s="124"/>
    </row>
    <row r="122" spans="1:13" ht="6" customHeight="1">
      <c r="A122" s="124"/>
      <c r="B122" s="124"/>
      <c r="C122" s="124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</row>
    <row r="123" spans="1:13" ht="12.75">
      <c r="A123" s="124"/>
      <c r="B123" s="124"/>
      <c r="C123" s="124"/>
      <c r="D123" s="245" t="s">
        <v>5</v>
      </c>
      <c r="E123" s="248"/>
      <c r="F123" s="248"/>
      <c r="G123" s="248"/>
      <c r="H123" s="136"/>
      <c r="I123" s="247" t="s">
        <v>5</v>
      </c>
      <c r="J123" s="244"/>
      <c r="K123" s="244"/>
      <c r="L123" s="124"/>
      <c r="M123" s="124"/>
    </row>
    <row r="124" spans="1:13" ht="12.75">
      <c r="A124" s="124"/>
      <c r="B124" s="124"/>
      <c r="C124" s="124"/>
      <c r="D124" s="245" t="s">
        <v>103</v>
      </c>
      <c r="E124" s="249"/>
      <c r="F124" s="246" t="s">
        <v>104</v>
      </c>
      <c r="G124" s="246"/>
      <c r="H124" s="144"/>
      <c r="I124" s="141"/>
      <c r="J124" s="142"/>
      <c r="K124" s="142"/>
      <c r="L124" s="124"/>
      <c r="M124" s="124"/>
    </row>
    <row r="125" spans="1:13" ht="12.75">
      <c r="A125" s="40"/>
      <c r="B125" s="124"/>
      <c r="C125" s="124"/>
      <c r="D125" s="253">
        <f>'OP1 Rater'!HO41</f>
        <v>15</v>
      </c>
      <c r="E125" s="249"/>
      <c r="F125" s="253">
        <f>'OP1 Rater'!HP41</f>
        <v>20</v>
      </c>
      <c r="G125" s="249"/>
      <c r="H125" s="137"/>
      <c r="I125" s="139">
        <f>'OP1 Rater'!HR41</f>
        <v>100</v>
      </c>
      <c r="J125" s="128">
        <f>'OP1 Rater'!HS41</f>
        <v>200</v>
      </c>
      <c r="K125" s="128">
        <f>'OP1 Rater'!HT41</f>
        <v>500</v>
      </c>
      <c r="L125" s="124"/>
      <c r="M125" s="124"/>
    </row>
    <row r="126" spans="1:13" ht="12.75">
      <c r="A126" s="129" t="str">
        <f>'OP1 Rater'!GG42</f>
        <v>Insured Only</v>
      </c>
      <c r="B126" s="130"/>
      <c r="C126" s="124"/>
      <c r="D126" s="252">
        <f>'OP1 Rater'!HO42</f>
        <v>6.2</v>
      </c>
      <c r="E126" s="249"/>
      <c r="F126" s="252">
        <f>'OP1 Rater'!HP42</f>
        <v>9.52</v>
      </c>
      <c r="G126" s="249"/>
      <c r="H126" s="138"/>
      <c r="I126" s="140">
        <f>'OP1 Rater'!HR42</f>
        <v>2.57</v>
      </c>
      <c r="J126" s="131">
        <f>'OP1 Rater'!HS42</f>
        <v>4.82</v>
      </c>
      <c r="K126" s="131">
        <f>'OP1 Rater'!HT42</f>
        <v>10.83</v>
      </c>
      <c r="L126" s="124"/>
      <c r="M126" s="124"/>
    </row>
    <row r="127" spans="1:13" ht="12.75">
      <c r="A127" s="132" t="str">
        <f>'OP1 Rater'!GG43</f>
        <v>Insured Plus Spouse</v>
      </c>
      <c r="B127" s="133"/>
      <c r="C127" s="124"/>
      <c r="D127" s="252">
        <f>'OP1 Rater'!HO43</f>
        <v>9.08</v>
      </c>
      <c r="E127" s="249"/>
      <c r="F127" s="252">
        <f>'OP1 Rater'!HP43</f>
        <v>15.09</v>
      </c>
      <c r="G127" s="249"/>
      <c r="H127" s="138"/>
      <c r="I127" s="140">
        <f>'OP1 Rater'!HR43</f>
        <v>4.07</v>
      </c>
      <c r="J127" s="131">
        <f>'OP1 Rater'!HS43</f>
        <v>7.76</v>
      </c>
      <c r="K127" s="131">
        <f>'OP1 Rater'!HT43</f>
        <v>17.41</v>
      </c>
      <c r="L127" s="124"/>
      <c r="M127" s="124"/>
    </row>
    <row r="128" spans="1:13" ht="12.75">
      <c r="A128" s="132" t="str">
        <f>'OP1 Rater'!GG44</f>
        <v>Insured Plus Children</v>
      </c>
      <c r="B128" s="133"/>
      <c r="C128" s="124"/>
      <c r="D128" s="252">
        <f>'OP1 Rater'!HO44</f>
        <v>9.58</v>
      </c>
      <c r="E128" s="249"/>
      <c r="F128" s="252">
        <f>'OP1 Rater'!HP44</f>
        <v>17.91</v>
      </c>
      <c r="G128" s="249"/>
      <c r="H128" s="138"/>
      <c r="I128" s="140">
        <f>'OP1 Rater'!HR44</f>
        <v>8.89</v>
      </c>
      <c r="J128" s="131">
        <f>'OP1 Rater'!HS44</f>
        <v>16.97</v>
      </c>
      <c r="K128" s="131">
        <f>'OP1 Rater'!HT44</f>
        <v>37.88</v>
      </c>
      <c r="L128" s="124"/>
      <c r="M128" s="124"/>
    </row>
    <row r="129" spans="1:13" ht="12.75">
      <c r="A129" s="134" t="str">
        <f>'OP1 Rater'!GG45</f>
        <v>Insured Plus Family</v>
      </c>
      <c r="B129" s="135"/>
      <c r="C129" s="124"/>
      <c r="D129" s="252">
        <f>'OP1 Rater'!HO45</f>
        <v>11.4</v>
      </c>
      <c r="E129" s="249"/>
      <c r="F129" s="252">
        <f>'OP1 Rater'!HP45</f>
        <v>21.04</v>
      </c>
      <c r="G129" s="249"/>
      <c r="H129" s="138"/>
      <c r="I129" s="140">
        <f>'OP1 Rater'!HR45</f>
        <v>9.89</v>
      </c>
      <c r="J129" s="131">
        <f>'OP1 Rater'!HS45</f>
        <v>18.85</v>
      </c>
      <c r="K129" s="131">
        <f>'OP1 Rater'!HT45</f>
        <v>42.14</v>
      </c>
      <c r="L129" s="124"/>
      <c r="M129" s="124"/>
    </row>
    <row r="130" spans="1:13" ht="12.75">
      <c r="A130" s="146"/>
      <c r="B130" s="147"/>
      <c r="C130" s="124"/>
      <c r="D130" s="148"/>
      <c r="E130" s="41"/>
      <c r="F130" s="148"/>
      <c r="G130" s="41"/>
      <c r="H130" s="149"/>
      <c r="I130" s="149"/>
      <c r="J130" s="149"/>
      <c r="K130" s="149"/>
      <c r="L130" s="124"/>
      <c r="M130" s="124"/>
    </row>
    <row r="131" spans="1:13" ht="12.75">
      <c r="A131" s="124"/>
      <c r="B131" s="124"/>
      <c r="C131" s="124"/>
      <c r="D131" s="126" t="str">
        <f>'OP1 Rater'!GJ48</f>
        <v>Insured with Attained Age 50+</v>
      </c>
      <c r="E131" s="124"/>
      <c r="F131" s="124"/>
      <c r="G131" s="124"/>
      <c r="H131" s="124"/>
      <c r="I131" s="124"/>
      <c r="J131" s="124"/>
      <c r="K131" s="124"/>
      <c r="L131" s="124"/>
      <c r="M131" s="124"/>
    </row>
    <row r="132" spans="1:13" ht="6" customHeight="1">
      <c r="A132" s="124"/>
      <c r="B132" s="124"/>
      <c r="C132" s="124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</row>
    <row r="133" spans="1:13" ht="12.75">
      <c r="A133" s="124"/>
      <c r="B133" s="124"/>
      <c r="C133" s="124"/>
      <c r="D133" s="245" t="s">
        <v>5</v>
      </c>
      <c r="E133" s="248"/>
      <c r="F133" s="248"/>
      <c r="G133" s="248"/>
      <c r="H133" s="136"/>
      <c r="I133" s="247" t="s">
        <v>5</v>
      </c>
      <c r="J133" s="244"/>
      <c r="K133" s="244"/>
      <c r="L133" s="124"/>
      <c r="M133" s="124"/>
    </row>
    <row r="134" spans="1:13" ht="12.75">
      <c r="A134" s="124"/>
      <c r="B134" s="124"/>
      <c r="C134" s="124"/>
      <c r="D134" s="245" t="s">
        <v>103</v>
      </c>
      <c r="E134" s="249"/>
      <c r="F134" s="246" t="s">
        <v>104</v>
      </c>
      <c r="G134" s="246"/>
      <c r="H134" s="144"/>
      <c r="I134" s="141"/>
      <c r="J134" s="142"/>
      <c r="K134" s="142"/>
      <c r="L134" s="124"/>
      <c r="M134" s="124"/>
    </row>
    <row r="135" spans="1:13" ht="12.75">
      <c r="A135" s="40"/>
      <c r="B135" s="124"/>
      <c r="C135" s="124"/>
      <c r="D135" s="253">
        <f>'OP1 Rater'!HO51</f>
        <v>15</v>
      </c>
      <c r="E135" s="249"/>
      <c r="F135" s="253">
        <f>'OP1 Rater'!HP51</f>
        <v>20</v>
      </c>
      <c r="G135" s="249"/>
      <c r="H135" s="137"/>
      <c r="I135" s="139">
        <f>'OP1 Rater'!HR51</f>
        <v>100</v>
      </c>
      <c r="J135" s="139">
        <f>'OP1 Rater'!HS51</f>
        <v>200</v>
      </c>
      <c r="K135" s="139">
        <f>'OP1 Rater'!HT51</f>
        <v>500</v>
      </c>
      <c r="L135" s="124"/>
      <c r="M135" s="124"/>
    </row>
    <row r="136" spans="1:13" ht="12.75">
      <c r="A136" s="129" t="str">
        <f>'OP1 Rater'!GG52</f>
        <v>Insured Only</v>
      </c>
      <c r="B136" s="130"/>
      <c r="C136" s="124"/>
      <c r="D136" s="252">
        <f>'OP1 Rater'!HO52</f>
        <v>12.79</v>
      </c>
      <c r="E136" s="249"/>
      <c r="F136" s="252">
        <f>'OP1 Rater'!HP52</f>
        <v>19.57</v>
      </c>
      <c r="G136" s="249"/>
      <c r="H136" s="138"/>
      <c r="I136" s="140">
        <f>'OP1 Rater'!HR52</f>
        <v>5.25</v>
      </c>
      <c r="J136" s="140">
        <f>'OP1 Rater'!HS52</f>
        <v>9.93</v>
      </c>
      <c r="K136" s="140">
        <f>'OP1 Rater'!HT52</f>
        <v>22.24</v>
      </c>
      <c r="L136" s="124"/>
      <c r="M136" s="124"/>
    </row>
    <row r="137" spans="1:13" ht="12.75">
      <c r="A137" s="132" t="str">
        <f>'OP1 Rater'!GG53</f>
        <v>Insured Plus Spouse</v>
      </c>
      <c r="B137" s="133"/>
      <c r="C137" s="124"/>
      <c r="D137" s="252">
        <f>'OP1 Rater'!HO53</f>
        <v>15.27</v>
      </c>
      <c r="E137" s="249"/>
      <c r="F137" s="252">
        <f>'OP1 Rater'!HP53</f>
        <v>26.63</v>
      </c>
      <c r="G137" s="249"/>
      <c r="H137" s="138"/>
      <c r="I137" s="140">
        <f>'OP1 Rater'!HR53</f>
        <v>7.25</v>
      </c>
      <c r="J137" s="140">
        <f>'OP1 Rater'!HS53</f>
        <v>13.75</v>
      </c>
      <c r="K137" s="140">
        <f>'OP1 Rater'!HT53</f>
        <v>30.64</v>
      </c>
      <c r="L137" s="124"/>
      <c r="M137" s="124"/>
    </row>
    <row r="138" spans="1:13" ht="12.75">
      <c r="A138" s="132" t="str">
        <f>'OP1 Rater'!GG54</f>
        <v>Insured Plus Children</v>
      </c>
      <c r="B138" s="133"/>
      <c r="C138" s="124"/>
      <c r="D138" s="252">
        <f>'OP1 Rater'!HO54</f>
        <v>16.04</v>
      </c>
      <c r="E138" s="249"/>
      <c r="F138" s="252">
        <f>'OP1 Rater'!HP54</f>
        <v>28.45</v>
      </c>
      <c r="G138" s="249"/>
      <c r="H138" s="138"/>
      <c r="I138" s="140">
        <f>'OP1 Rater'!HR54</f>
        <v>14.13</v>
      </c>
      <c r="J138" s="140">
        <f>'OP1 Rater'!HS54</f>
        <v>26.92</v>
      </c>
      <c r="K138" s="140">
        <f>'OP1 Rater'!HT54</f>
        <v>60.23</v>
      </c>
      <c r="L138" s="124"/>
      <c r="M138" s="124"/>
    </row>
    <row r="139" spans="1:13" ht="12.75">
      <c r="A139" s="134" t="str">
        <f>'OP1 Rater'!GG55</f>
        <v>Insured Plus Family</v>
      </c>
      <c r="B139" s="135"/>
      <c r="C139" s="124"/>
      <c r="D139" s="252">
        <f>'OP1 Rater'!HO55</f>
        <v>17.37</v>
      </c>
      <c r="E139" s="249"/>
      <c r="F139" s="252">
        <f>'OP1 Rater'!HP55</f>
        <v>32.07</v>
      </c>
      <c r="G139" s="249"/>
      <c r="H139" s="138"/>
      <c r="I139" s="140">
        <f>'OP1 Rater'!HR55</f>
        <v>15.08</v>
      </c>
      <c r="J139" s="140">
        <f>'OP1 Rater'!HS55</f>
        <v>28.73</v>
      </c>
      <c r="K139" s="140">
        <f>'OP1 Rater'!HT55</f>
        <v>64.24</v>
      </c>
      <c r="L139" s="124"/>
      <c r="M139" s="124"/>
    </row>
    <row r="140" spans="1:13" ht="12.75">
      <c r="A140" s="124"/>
      <c r="B140" s="124"/>
      <c r="C140" s="124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</row>
    <row r="141" spans="1:13" ht="12.75">
      <c r="A141" s="124"/>
      <c r="B141" s="124"/>
      <c r="C141" s="124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</row>
    <row r="142" spans="1:13" ht="12.75">
      <c r="A142" s="124"/>
      <c r="B142" s="124"/>
      <c r="C142" s="124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</row>
    <row r="143" spans="1:13" ht="12.75">
      <c r="A143" s="124"/>
      <c r="B143" s="124"/>
      <c r="C143" s="124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</row>
    <row r="144" spans="1:13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1:13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1:13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1:13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1:13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1:13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1:13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1:13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1:13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1:13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1:13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1:13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1:13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1:13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1:13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1:13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1:13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1:13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1:13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1:13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1:13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1:13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1:13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1:13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1:13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1:13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1:13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1:13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1:13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1:13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1:13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1:13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1:13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1:13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1:13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1:13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1:13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1:13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1:13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1:13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1:13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1:13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1:13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1:13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1:13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1:13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1:13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1:13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1:13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1:13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1:13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1:13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1:13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1:13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1:13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1:13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1:13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1:13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1:13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1:13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1:13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1:13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1:13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1:13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1:13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1:13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1:13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1:13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1:13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1:13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1:13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1:13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1:13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1:13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1:13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1:13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1:13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1:13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1:13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1:13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1:13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1:13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1:13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1:13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1:13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1:13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1:13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1:13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1:13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1:13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1:13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1:13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1:13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1:13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1:13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1:13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1:13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1:13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1:13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1:13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1:13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1:13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1:13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1:13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1:13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1:13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1:13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1:13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1:13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1:13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1:13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1:13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1:13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1:13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1:13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1:13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1:13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1:13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1:13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1:13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1:13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1:13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1:13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1:13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1:13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1:13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1:13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1:13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1:13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spans="1:13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1:13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1:13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1:13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1:13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1:13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1:13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1:13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1:13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1:13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1:13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1:13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1:13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1:13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1:13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1:13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1:13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1:13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1:13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1:13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1:13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1:13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1:13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1:13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1:13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1:13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1:13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1:13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spans="1:13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1:13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1:13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1:13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1:13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spans="1:13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spans="1:13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  <row r="417" spans="1:13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</row>
    <row r="418" spans="1:13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</row>
    <row r="419" spans="1:13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</row>
    <row r="420" spans="1:13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</row>
    <row r="421" spans="1:13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 spans="1:13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</row>
    <row r="423" spans="1:13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</row>
    <row r="424" spans="1:13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</row>
    <row r="425" spans="1:13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</row>
    <row r="426" spans="1:13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</row>
    <row r="427" spans="1:13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</row>
    <row r="428" spans="1:13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</row>
    <row r="429" spans="1:13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</row>
    <row r="430" spans="1:13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</row>
    <row r="431" spans="1:13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</row>
    <row r="432" spans="1:13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</row>
    <row r="433" spans="1:13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</row>
    <row r="434" spans="1:13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</row>
    <row r="435" spans="1:13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</row>
    <row r="436" spans="1:13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</row>
    <row r="437" spans="1:13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</row>
    <row r="438" spans="1:13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</row>
    <row r="439" spans="1:13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</row>
    <row r="440" spans="1:13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</row>
    <row r="441" spans="1:13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</row>
    <row r="442" spans="1:13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</row>
    <row r="443" spans="1:13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</row>
    <row r="444" spans="1:13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</row>
    <row r="445" spans="1:13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</row>
    <row r="446" spans="1:13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</row>
    <row r="447" spans="1:13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</row>
    <row r="448" spans="1:13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</row>
    <row r="449" spans="1:13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</row>
    <row r="450" spans="1:13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</row>
    <row r="451" spans="1:13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</row>
    <row r="452" spans="1:13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</row>
    <row r="453" spans="1:13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</row>
    <row r="454" spans="1:13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</row>
    <row r="455" spans="1:13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</row>
    <row r="456" spans="1:13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</row>
    <row r="457" spans="1:13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</row>
    <row r="458" spans="1:13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</row>
    <row r="459" spans="1:13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</row>
    <row r="460" spans="1:13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</row>
    <row r="461" spans="1:13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</row>
    <row r="462" spans="1:13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</row>
    <row r="463" spans="1:13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</row>
    <row r="464" spans="1:13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</row>
    <row r="465" spans="1:13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</row>
    <row r="466" spans="1:13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</row>
    <row r="467" spans="1:13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</row>
    <row r="468" spans="1:13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</row>
    <row r="469" spans="1:13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</row>
    <row r="470" spans="1:13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</row>
    <row r="471" spans="1:13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</row>
    <row r="472" spans="1:13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</row>
    <row r="473" spans="1:13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</row>
    <row r="474" spans="1:13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</row>
    <row r="475" spans="1:13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</row>
    <row r="476" spans="1:13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</row>
    <row r="477" spans="1:13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</row>
    <row r="478" spans="1:13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</row>
    <row r="479" spans="1:13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</row>
    <row r="480" spans="1:13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</row>
    <row r="481" spans="1:13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</row>
    <row r="482" spans="1:13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</row>
    <row r="483" spans="1:13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</row>
    <row r="484" spans="1:13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</row>
    <row r="485" spans="1:13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</row>
    <row r="486" spans="1:13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</row>
    <row r="487" spans="1:13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</row>
    <row r="488" spans="1:13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</row>
    <row r="489" spans="1:13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</row>
    <row r="490" spans="1:13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</row>
    <row r="491" spans="1:13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</row>
    <row r="492" spans="1:13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</row>
    <row r="493" spans="1:13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</row>
    <row r="494" spans="1:13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</row>
    <row r="495" spans="1:13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</row>
    <row r="496" spans="1:13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</row>
    <row r="497" spans="1:13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</row>
    <row r="498" spans="1:13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</row>
    <row r="499" spans="1:13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</row>
    <row r="500" spans="1:13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</row>
    <row r="501" spans="1:13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</row>
    <row r="502" spans="1:13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</row>
    <row r="503" spans="1:13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</row>
    <row r="504" spans="1:13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</row>
    <row r="505" spans="1:13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</row>
    <row r="506" spans="1:13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</row>
    <row r="507" spans="1:13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</row>
    <row r="508" spans="1:13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</row>
    <row r="509" spans="1:13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</row>
    <row r="510" spans="1:13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</row>
    <row r="511" spans="1:13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</row>
    <row r="512" spans="1:13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</row>
    <row r="513" spans="1:13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</row>
    <row r="514" spans="1:13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</row>
    <row r="515" spans="1:13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</row>
    <row r="516" spans="1:13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</row>
    <row r="517" spans="1:13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</row>
    <row r="518" spans="1:13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</row>
    <row r="519" spans="1:13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</row>
    <row r="520" spans="1:13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</row>
    <row r="521" spans="1:13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</row>
    <row r="522" spans="1:13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</row>
    <row r="523" spans="1:13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</row>
    <row r="524" spans="1:13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</row>
    <row r="525" spans="1:13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</row>
    <row r="526" spans="1:13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</row>
    <row r="527" spans="1:13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</row>
    <row r="528" spans="1:13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</row>
    <row r="529" spans="1:13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</row>
    <row r="530" spans="1:13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</row>
    <row r="531" spans="1:13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</row>
    <row r="532" spans="1:13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</row>
    <row r="533" spans="1:13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</row>
    <row r="534" spans="1:13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</row>
    <row r="535" spans="1:13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</row>
    <row r="536" spans="1:13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</row>
    <row r="537" spans="1:13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</row>
    <row r="538" spans="1:13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</row>
    <row r="539" spans="1:13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</row>
    <row r="540" spans="1:13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</row>
    <row r="541" spans="1:13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</row>
    <row r="542" spans="1:13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</row>
    <row r="543" spans="1:13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</row>
    <row r="544" spans="1:13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</row>
    <row r="545" spans="1:13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</row>
    <row r="546" spans="1:13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</row>
    <row r="547" spans="1:13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</row>
    <row r="548" spans="1:13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</row>
    <row r="549" spans="1:13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</row>
    <row r="550" spans="1:13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</row>
    <row r="551" spans="1:13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</row>
    <row r="552" spans="1:13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</row>
    <row r="553" spans="1:13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</row>
    <row r="554" spans="1:13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</row>
    <row r="555" spans="1:13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</row>
    <row r="556" spans="1:13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</row>
    <row r="557" spans="1:13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</row>
    <row r="558" spans="1:13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</row>
    <row r="559" spans="1:13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</row>
    <row r="560" spans="1:13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</row>
    <row r="561" spans="1:13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</row>
    <row r="562" spans="1:13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</row>
    <row r="563" spans="1:13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</row>
    <row r="564" spans="1:13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</row>
    <row r="565" spans="1:13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</row>
    <row r="566" spans="1:13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</row>
    <row r="567" spans="1:13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</row>
    <row r="568" spans="1:13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</row>
    <row r="569" spans="1:13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</row>
    <row r="570" spans="1:13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</row>
    <row r="571" spans="1:13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</row>
    <row r="572" spans="1:13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</row>
    <row r="573" spans="1:13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</row>
    <row r="574" spans="1:13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</row>
    <row r="575" spans="1:13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</row>
    <row r="576" spans="1:13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</row>
    <row r="577" spans="1:13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</row>
    <row r="578" spans="1:13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</row>
    <row r="579" spans="1:13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</row>
    <row r="580" spans="1:13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</row>
    <row r="581" spans="1:13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</row>
    <row r="582" spans="1:13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</row>
    <row r="583" spans="1:13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</row>
    <row r="584" spans="1:13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</row>
    <row r="585" spans="1:13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</row>
    <row r="586" spans="1:13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</row>
    <row r="587" spans="1:13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</row>
    <row r="588" spans="1:13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</row>
    <row r="589" spans="1:13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</row>
    <row r="590" spans="1:13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</row>
    <row r="591" spans="1:13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</row>
    <row r="592" spans="1:13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</row>
    <row r="593" spans="1:13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</row>
    <row r="594" spans="1:13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</row>
    <row r="595" spans="1:13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</row>
    <row r="596" spans="1:13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</row>
    <row r="597" spans="1:13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</row>
    <row r="598" spans="1:13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</row>
    <row r="599" spans="1:13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</row>
    <row r="600" spans="1:13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</row>
    <row r="601" spans="1:13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</row>
    <row r="602" spans="1:13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</row>
    <row r="603" spans="1:13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</row>
    <row r="604" spans="1:13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</row>
    <row r="605" spans="1:13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</row>
    <row r="606" spans="1:13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</row>
    <row r="607" spans="1:13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</row>
    <row r="608" spans="1:13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</row>
    <row r="609" spans="1:13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</row>
    <row r="610" spans="1:13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</row>
    <row r="611" spans="1:13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</row>
    <row r="612" spans="1:13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</row>
    <row r="613" spans="1:13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</row>
    <row r="614" spans="1:13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</row>
    <row r="615" spans="1:13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</row>
    <row r="616" spans="1:13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</row>
    <row r="617" spans="1:13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</row>
    <row r="618" spans="1:13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</row>
    <row r="619" spans="1:13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</row>
    <row r="620" spans="1:13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</row>
    <row r="621" spans="1:13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</row>
    <row r="622" spans="1:13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</row>
    <row r="623" spans="1:13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</row>
    <row r="624" spans="1:13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</row>
    <row r="625" spans="1:13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</row>
    <row r="626" spans="1:13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</row>
    <row r="627" spans="1:13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</row>
    <row r="628" spans="1:13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</row>
    <row r="629" spans="1:13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</row>
    <row r="630" spans="1:13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</row>
    <row r="631" spans="1:13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</row>
    <row r="632" spans="1:13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</row>
    <row r="633" spans="1:13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</row>
    <row r="634" spans="1:13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</row>
    <row r="635" spans="1:13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</row>
    <row r="636" spans="1:13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</row>
    <row r="637" spans="1:13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</row>
    <row r="638" spans="1:13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</row>
    <row r="639" spans="1:13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</row>
    <row r="640" spans="1:13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</row>
    <row r="641" spans="1:13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</row>
    <row r="642" spans="1:13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</row>
    <row r="643" spans="1:13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</row>
    <row r="644" spans="1:13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</row>
    <row r="645" spans="1:13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</row>
    <row r="646" spans="1:13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</row>
    <row r="647" spans="1:13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</row>
    <row r="648" spans="1:13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</row>
    <row r="649" spans="1:13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</row>
    <row r="650" spans="1:13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</row>
    <row r="651" spans="1:13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</row>
    <row r="652" spans="1:13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</row>
    <row r="653" spans="1:13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</row>
    <row r="654" spans="1:13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</row>
    <row r="655" spans="1:13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</row>
    <row r="656" spans="1:13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</row>
    <row r="657" spans="1:13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</row>
    <row r="658" spans="1:13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</row>
    <row r="659" spans="1:13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</row>
    <row r="660" spans="1:13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</row>
    <row r="661" spans="1:13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</row>
    <row r="662" spans="1:13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</row>
    <row r="663" spans="1:13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</row>
    <row r="664" spans="1:13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</row>
    <row r="665" spans="1:13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</row>
    <row r="666" spans="1:13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</row>
    <row r="667" spans="1:13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</row>
    <row r="668" spans="1:13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</row>
    <row r="669" spans="1:13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</row>
    <row r="670" spans="1:13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</row>
    <row r="671" spans="1:13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</row>
    <row r="672" spans="1:13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</row>
    <row r="673" spans="1:13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</row>
    <row r="674" spans="1:13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</row>
    <row r="675" spans="1:13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</row>
    <row r="676" spans="1:13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</row>
    <row r="677" spans="1:13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</row>
    <row r="678" spans="1:13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</row>
    <row r="679" spans="1:13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</row>
    <row r="680" spans="1:13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</row>
    <row r="681" spans="1:13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</row>
    <row r="682" spans="1:13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</row>
    <row r="683" spans="1:13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</row>
    <row r="684" spans="1:13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</row>
    <row r="685" spans="1:13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</row>
    <row r="686" spans="1:13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</row>
    <row r="687" spans="1:13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</row>
    <row r="688" spans="1:13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</row>
    <row r="689" spans="1:13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</row>
    <row r="690" spans="1:13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</row>
    <row r="691" spans="1:13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</row>
    <row r="692" spans="1:13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</row>
    <row r="693" spans="1:13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</row>
    <row r="694" spans="1:13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</row>
    <row r="695" spans="1:13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</row>
    <row r="696" spans="1:13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</row>
    <row r="697" spans="1:13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</row>
    <row r="698" spans="1:13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</row>
    <row r="699" spans="1:13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</row>
    <row r="700" spans="1:13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</row>
    <row r="701" spans="1:13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</row>
    <row r="702" spans="1:13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</row>
    <row r="703" spans="1:13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</row>
    <row r="704" spans="1:13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</row>
    <row r="705" spans="1:13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</row>
    <row r="706" spans="1:13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</row>
    <row r="707" spans="1:13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</row>
    <row r="708" spans="1:13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</row>
    <row r="709" spans="1:13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</row>
    <row r="710" spans="1:13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</row>
    <row r="711" spans="1:13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</row>
    <row r="712" spans="1:13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</row>
    <row r="713" spans="1:13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</row>
    <row r="714" spans="1:13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</row>
    <row r="715" spans="1:13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</row>
    <row r="716" spans="1:13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</row>
    <row r="717" spans="1:13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</row>
    <row r="718" spans="1:13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</row>
    <row r="719" spans="1:13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</row>
    <row r="720" spans="1:13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</row>
    <row r="721" spans="1:13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</row>
    <row r="722" spans="1:13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</row>
    <row r="723" spans="1:13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</row>
    <row r="724" spans="1:13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</row>
    <row r="725" spans="1:13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</row>
    <row r="726" spans="1:13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</row>
    <row r="727" spans="1:13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</row>
    <row r="728" spans="1:13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</row>
    <row r="729" spans="1:13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</row>
    <row r="730" spans="1:13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</row>
    <row r="731" spans="1:13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</row>
    <row r="732" spans="1:13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</row>
    <row r="733" spans="1:13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</row>
    <row r="734" spans="1:13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</row>
    <row r="735" spans="1:13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</row>
    <row r="736" spans="1:13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</row>
    <row r="737" spans="1:13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</row>
    <row r="738" spans="1:13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</row>
    <row r="739" spans="1:13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</row>
    <row r="740" spans="1:13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</row>
    <row r="741" spans="1:13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</row>
    <row r="742" spans="1:13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</row>
    <row r="743" spans="1:13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</row>
    <row r="744" spans="1:13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</row>
    <row r="745" spans="1:13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</row>
    <row r="746" spans="1:13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</row>
    <row r="747" spans="1:13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</row>
    <row r="748" spans="1:13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</row>
    <row r="749" spans="1:13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</row>
    <row r="750" spans="1:13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</row>
    <row r="751" spans="1:13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</row>
    <row r="752" spans="1:13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</row>
    <row r="753" spans="1:13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</row>
    <row r="754" spans="1:13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</row>
    <row r="755" spans="1:13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</row>
    <row r="756" spans="1:13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</row>
    <row r="757" spans="1:13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</row>
    <row r="758" spans="1:13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</row>
    <row r="759" spans="1:13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</row>
    <row r="760" spans="1:13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</row>
    <row r="761" spans="1:13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</row>
    <row r="762" spans="1:13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</row>
    <row r="763" spans="1:13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</row>
    <row r="764" spans="1:13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</row>
    <row r="765" spans="1:13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</row>
    <row r="766" spans="1:13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</row>
  </sheetData>
  <sheetProtection password="DF46" sheet="1" selectLockedCells="1"/>
  <mergeCells count="170">
    <mergeCell ref="D123:G123"/>
    <mergeCell ref="I123:K123"/>
    <mergeCell ref="D124:E124"/>
    <mergeCell ref="F124:G124"/>
    <mergeCell ref="D125:E125"/>
    <mergeCell ref="F125:G125"/>
    <mergeCell ref="D126:E126"/>
    <mergeCell ref="F126:G126"/>
    <mergeCell ref="D127:E127"/>
    <mergeCell ref="F127:G127"/>
    <mergeCell ref="D128:E128"/>
    <mergeCell ref="F128:G128"/>
    <mergeCell ref="D137:E137"/>
    <mergeCell ref="F137:G137"/>
    <mergeCell ref="D129:E129"/>
    <mergeCell ref="F129:G129"/>
    <mergeCell ref="D133:G133"/>
    <mergeCell ref="I133:K133"/>
    <mergeCell ref="D134:E134"/>
    <mergeCell ref="F134:G134"/>
    <mergeCell ref="D119:E119"/>
    <mergeCell ref="F119:G119"/>
    <mergeCell ref="D138:E138"/>
    <mergeCell ref="F138:G138"/>
    <mergeCell ref="D139:E139"/>
    <mergeCell ref="F139:G139"/>
    <mergeCell ref="D135:E135"/>
    <mergeCell ref="F135:G135"/>
    <mergeCell ref="D136:E136"/>
    <mergeCell ref="F136:G136"/>
    <mergeCell ref="D116:E116"/>
    <mergeCell ref="F116:G116"/>
    <mergeCell ref="D117:E117"/>
    <mergeCell ref="F117:G117"/>
    <mergeCell ref="D118:E118"/>
    <mergeCell ref="F118:G118"/>
    <mergeCell ref="D113:G113"/>
    <mergeCell ref="I113:K113"/>
    <mergeCell ref="D114:E114"/>
    <mergeCell ref="F114:G114"/>
    <mergeCell ref="D115:E115"/>
    <mergeCell ref="F115:G115"/>
    <mergeCell ref="D102:E102"/>
    <mergeCell ref="D103:E103"/>
    <mergeCell ref="D104:E104"/>
    <mergeCell ref="D105:E105"/>
    <mergeCell ref="D106:E106"/>
    <mergeCell ref="F102:G102"/>
    <mergeCell ref="F103:G103"/>
    <mergeCell ref="F104:G104"/>
    <mergeCell ref="F105:G105"/>
    <mergeCell ref="F106:G106"/>
    <mergeCell ref="D96:E96"/>
    <mergeCell ref="F96:G96"/>
    <mergeCell ref="D100:G100"/>
    <mergeCell ref="I100:K100"/>
    <mergeCell ref="D101:E101"/>
    <mergeCell ref="F101:G101"/>
    <mergeCell ref="D93:E93"/>
    <mergeCell ref="F93:G93"/>
    <mergeCell ref="D94:E94"/>
    <mergeCell ref="F94:G94"/>
    <mergeCell ref="D95:E95"/>
    <mergeCell ref="F95:G95"/>
    <mergeCell ref="D90:G90"/>
    <mergeCell ref="I90:K90"/>
    <mergeCell ref="D91:E91"/>
    <mergeCell ref="F91:G91"/>
    <mergeCell ref="D92:E92"/>
    <mergeCell ref="F92:G92"/>
    <mergeCell ref="D84:E84"/>
    <mergeCell ref="F84:G84"/>
    <mergeCell ref="D85:E85"/>
    <mergeCell ref="F85:G85"/>
    <mergeCell ref="D86:E86"/>
    <mergeCell ref="F86:G86"/>
    <mergeCell ref="D81:E81"/>
    <mergeCell ref="F81:G81"/>
    <mergeCell ref="D82:E82"/>
    <mergeCell ref="F82:G82"/>
    <mergeCell ref="D83:E83"/>
    <mergeCell ref="F83:G83"/>
    <mergeCell ref="F63:G63"/>
    <mergeCell ref="I67:K67"/>
    <mergeCell ref="D80:G80"/>
    <mergeCell ref="I80:K80"/>
    <mergeCell ref="D69:E69"/>
    <mergeCell ref="F69:G69"/>
    <mergeCell ref="D70:E70"/>
    <mergeCell ref="D67:G67"/>
    <mergeCell ref="D72:E72"/>
    <mergeCell ref="F72:G72"/>
    <mergeCell ref="D73:E73"/>
    <mergeCell ref="F73:G73"/>
    <mergeCell ref="D68:E68"/>
    <mergeCell ref="F68:G68"/>
    <mergeCell ref="F70:G70"/>
    <mergeCell ref="D71:E71"/>
    <mergeCell ref="F71:G71"/>
    <mergeCell ref="D57:G57"/>
    <mergeCell ref="D58:E58"/>
    <mergeCell ref="F58:G58"/>
    <mergeCell ref="D60:E60"/>
    <mergeCell ref="F60:G60"/>
    <mergeCell ref="D61:E61"/>
    <mergeCell ref="F61:G61"/>
    <mergeCell ref="D63:E63"/>
    <mergeCell ref="I57:K57"/>
    <mergeCell ref="D59:E59"/>
    <mergeCell ref="F59:G59"/>
    <mergeCell ref="D49:E49"/>
    <mergeCell ref="F49:G49"/>
    <mergeCell ref="D50:E50"/>
    <mergeCell ref="D52:E52"/>
    <mergeCell ref="D53:E53"/>
    <mergeCell ref="F50:G50"/>
    <mergeCell ref="F36:G36"/>
    <mergeCell ref="D37:E37"/>
    <mergeCell ref="D38:E38"/>
    <mergeCell ref="D39:E39"/>
    <mergeCell ref="D40:E40"/>
    <mergeCell ref="F37:G37"/>
    <mergeCell ref="F38:G38"/>
    <mergeCell ref="F39:G39"/>
    <mergeCell ref="F26:G26"/>
    <mergeCell ref="F27:G27"/>
    <mergeCell ref="F28:G28"/>
    <mergeCell ref="F29:G29"/>
    <mergeCell ref="F30:G30"/>
    <mergeCell ref="F40:G40"/>
    <mergeCell ref="D34:G34"/>
    <mergeCell ref="D35:E35"/>
    <mergeCell ref="F35:G35"/>
    <mergeCell ref="D36:E36"/>
    <mergeCell ref="I34:K34"/>
    <mergeCell ref="D15:E15"/>
    <mergeCell ref="F15:G15"/>
    <mergeCell ref="D25:E25"/>
    <mergeCell ref="F25:G25"/>
    <mergeCell ref="F16:G16"/>
    <mergeCell ref="F17:G17"/>
    <mergeCell ref="F18:G18"/>
    <mergeCell ref="D20:E20"/>
    <mergeCell ref="F20:G20"/>
    <mergeCell ref="D26:E26"/>
    <mergeCell ref="F51:G51"/>
    <mergeCell ref="F52:G52"/>
    <mergeCell ref="D27:E27"/>
    <mergeCell ref="I47:K47"/>
    <mergeCell ref="D48:E48"/>
    <mergeCell ref="F48:G48"/>
    <mergeCell ref="D28:E28"/>
    <mergeCell ref="D29:E29"/>
    <mergeCell ref="D30:E30"/>
    <mergeCell ref="F19:G19"/>
    <mergeCell ref="I14:K14"/>
    <mergeCell ref="D8:G8"/>
    <mergeCell ref="I8:K8"/>
    <mergeCell ref="D24:G24"/>
    <mergeCell ref="I24:K24"/>
    <mergeCell ref="D62:E62"/>
    <mergeCell ref="F62:G62"/>
    <mergeCell ref="F53:G53"/>
    <mergeCell ref="D51:E51"/>
    <mergeCell ref="D14:G14"/>
    <mergeCell ref="D16:E16"/>
    <mergeCell ref="D17:E17"/>
    <mergeCell ref="D18:E18"/>
    <mergeCell ref="D19:E19"/>
    <mergeCell ref="D47:G47"/>
  </mergeCells>
  <printOptions/>
  <pageMargins left="1.02" right="0.2" top="0.35" bottom="0.32" header="0.3" footer="0.3"/>
  <pageSetup horizontalDpi="600" verticalDpi="600" orientation="portrait" scale="82" r:id="rId2"/>
  <headerFooter>
    <oddFooter>&amp;L&amp;8All States Rater v. 2013-09-01&amp;R&amp;8&amp;P</oddFooter>
  </headerFooter>
  <rowBreaks count="1" manualBreakCount="1">
    <brk id="7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Sartain</dc:creator>
  <cp:keywords/>
  <dc:description/>
  <cp:lastModifiedBy>John R. Thornton</cp:lastModifiedBy>
  <cp:lastPrinted>2013-05-23T21:36:32Z</cp:lastPrinted>
  <dcterms:created xsi:type="dcterms:W3CDTF">2005-02-11T16:38:47Z</dcterms:created>
  <dcterms:modified xsi:type="dcterms:W3CDTF">2015-11-19T16:43:42Z</dcterms:modified>
  <cp:category/>
  <cp:version/>
  <cp:contentType/>
  <cp:contentStatus/>
</cp:coreProperties>
</file>